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46" windowWidth="5340" windowHeight="3315" tabRatio="644" activeTab="0"/>
  </bookViews>
  <sheets>
    <sheet name="Cover" sheetId="1" r:id="rId1"/>
    <sheet name="Analysis" sheetId="2" r:id="rId2"/>
    <sheet name="Description" sheetId="3" r:id="rId3"/>
    <sheet name="Instructions" sheetId="4" r:id="rId4"/>
  </sheets>
  <externalReferences>
    <externalReference r:id="rId7"/>
  </externalReferences>
  <definedNames>
    <definedName name="_xlnm.Print_Area" localSheetId="1">'Analysis'!$A$1:$M$319</definedName>
    <definedName name="_xlnm.Print_Area" localSheetId="0">'Cover'!$A$1:$N$31</definedName>
    <definedName name="_xlnm.Print_Area" localSheetId="2">'Description'!$A$1:$L$51</definedName>
    <definedName name="_xlnm.Print_Area" localSheetId="3">'Instructions'!$A$1:$M$26</definedName>
  </definedNames>
  <calcPr fullCalcOnLoad="1"/>
</workbook>
</file>

<file path=xl/comments1.xml><?xml version="1.0" encoding="utf-8"?>
<comments xmlns="http://schemas.openxmlformats.org/spreadsheetml/2006/main">
  <authors>
    <author>Ron.Johnson</author>
  </authors>
  <commentList>
    <comment ref="A19" authorId="0">
      <text>
        <r>
          <rPr>
            <b/>
            <sz val="11"/>
            <rFont val="Tahoma"/>
            <family val="2"/>
          </rPr>
          <t>Enter the company name here.  All spreadsheets will be automatically updated with the new company name</t>
        </r>
        <r>
          <rPr>
            <sz val="11"/>
            <rFont val="Tahoma"/>
            <family val="2"/>
          </rPr>
          <t xml:space="preserve">
</t>
        </r>
      </text>
    </comment>
    <comment ref="A17" authorId="0">
      <text>
        <r>
          <rPr>
            <b/>
            <sz val="11"/>
            <rFont val="Tahoma"/>
            <family val="2"/>
          </rPr>
          <t>Enter the draft number here.  If you update this analysis or prepare another scenario, update the draft number to keep your information coordinated among all users.</t>
        </r>
        <r>
          <rPr>
            <sz val="11"/>
            <rFont val="Tahoma"/>
            <family val="2"/>
          </rPr>
          <t xml:space="preserve">
</t>
        </r>
      </text>
    </comment>
    <comment ref="A20" authorId="0">
      <text>
        <r>
          <rPr>
            <b/>
            <sz val="11"/>
            <rFont val="Tahoma"/>
            <family val="2"/>
          </rPr>
          <t xml:space="preserve">Enter the company address here.  </t>
        </r>
        <r>
          <rPr>
            <sz val="11"/>
            <rFont val="Tahoma"/>
            <family val="2"/>
          </rPr>
          <t xml:space="preserve">
</t>
        </r>
      </text>
    </comment>
    <comment ref="A22" authorId="0">
      <text>
        <r>
          <rPr>
            <b/>
            <sz val="11"/>
            <rFont val="Tahoma"/>
            <family val="2"/>
          </rPr>
          <t>Today's date will automatically appear here.  Overwrite this if a non-varying date is needed.</t>
        </r>
      </text>
    </comment>
    <comment ref="A15" authorId="0">
      <text>
        <r>
          <rPr>
            <b/>
            <sz val="11"/>
            <rFont val="Tahoma"/>
            <family val="2"/>
          </rPr>
          <t>Insert the name of the drug or treatment here.  All worksheets will be updated</t>
        </r>
        <r>
          <rPr>
            <sz val="8"/>
            <rFont val="Tahoma"/>
            <family val="0"/>
          </rPr>
          <t xml:space="preserve">
</t>
        </r>
      </text>
    </comment>
  </commentList>
</comments>
</file>

<file path=xl/comments2.xml><?xml version="1.0" encoding="utf-8"?>
<comments xmlns="http://schemas.openxmlformats.org/spreadsheetml/2006/main">
  <authors>
    <author>J. J. Stewart</author>
  </authors>
  <commentList>
    <comment ref="D8" authorId="0">
      <text>
        <r>
          <rPr>
            <b/>
            <sz val="24"/>
            <rFont val="Tahoma"/>
            <family val="2"/>
          </rPr>
          <t>Enter data only in this column (the blue cells with white numbers) and, as needed, in the "Other" line of the "Contribution Margin - NPV" page.  All other pages will be updated automatically.  If parameters differ from those referenced in the "Source" column, then simply overwrite the appropriate data source with a new reference.  Note that if the market size must be computed from a current "dollar-size" market rather than by calculating the number of patients and the annual revenue per patient, one could simply enter a "1" in the "Number of Cases Forecast for Year 1" cell and the dollar value of the market in the "Revenue Per Unit" cell.</t>
        </r>
      </text>
    </comment>
  </commentList>
</comments>
</file>

<file path=xl/sharedStrings.xml><?xml version="1.0" encoding="utf-8"?>
<sst xmlns="http://schemas.openxmlformats.org/spreadsheetml/2006/main" count="249" uniqueCount="147">
  <si>
    <t>Total</t>
  </si>
  <si>
    <t>YEAR</t>
  </si>
  <si>
    <t>Units Sold</t>
  </si>
  <si>
    <t xml:space="preserve">     CONFIDENTIAL</t>
  </si>
  <si>
    <t>Revenue Per Unit (ASP)</t>
  </si>
  <si>
    <t>Discount Rate</t>
  </si>
  <si>
    <t>Acquisition</t>
  </si>
  <si>
    <t>FDA Fees</t>
  </si>
  <si>
    <t>Total Costs</t>
  </si>
  <si>
    <t>Other</t>
  </si>
  <si>
    <t>Royalty Splits</t>
  </si>
  <si>
    <t>Net Contribution Margin</t>
  </si>
  <si>
    <t>20 Year</t>
  </si>
  <si>
    <t>Contribution Margin Forecast</t>
  </si>
  <si>
    <t>Technology</t>
  </si>
  <si>
    <t>Preclinical</t>
  </si>
  <si>
    <t>Number of Cases</t>
  </si>
  <si>
    <t>Cumulative Net Contribution Margin</t>
  </si>
  <si>
    <t>Manufacturing/Marketing</t>
  </si>
  <si>
    <t>DESCRIPTION OF CONTENT:</t>
  </si>
  <si>
    <t>Description of Valuation Schedules</t>
  </si>
  <si>
    <t>Number of Cases Forecast for Year 1</t>
  </si>
  <si>
    <t>Revenue Per Unit</t>
  </si>
  <si>
    <t>Page 3</t>
  </si>
  <si>
    <t>DESCRIPTION  OF CONTENT</t>
  </si>
  <si>
    <t>TECHNOLOGY VALUATION</t>
  </si>
  <si>
    <t>Manufacturing/Marketing Costs + Markup</t>
  </si>
  <si>
    <t>FDA</t>
  </si>
  <si>
    <t>Royalty Rate</t>
  </si>
  <si>
    <t>Annual Preclinical Costs</t>
  </si>
  <si>
    <t>Peak Competitive Market Share</t>
  </si>
  <si>
    <t>Preclinical Ends</t>
  </si>
  <si>
    <t>FDA Ends</t>
  </si>
  <si>
    <t>Revenue Ends</t>
  </si>
  <si>
    <t>Preclinical Research</t>
  </si>
  <si>
    <t>Patent Fees</t>
  </si>
  <si>
    <t>Development Stage</t>
  </si>
  <si>
    <t>DEVELOPMENT STAGE</t>
  </si>
  <si>
    <t>Annual Costs</t>
  </si>
  <si>
    <t>Risk Mediated</t>
  </si>
  <si>
    <t>Risk-Adjusted NPV</t>
  </si>
  <si>
    <t>Market Ramp Time to Peak Penetration (Years)</t>
  </si>
  <si>
    <t>Peak Market Penetration</t>
  </si>
  <si>
    <t>N</t>
  </si>
  <si>
    <t>Orphan Drug (&lt; 200,000 U.S.)? (y/n)</t>
  </si>
  <si>
    <t>ORPHAN DRUG TAX CREDITS</t>
  </si>
  <si>
    <t>Annual Population Growth</t>
  </si>
  <si>
    <t>Royalty</t>
  </si>
  <si>
    <t>Approval Costs</t>
  </si>
  <si>
    <t>NPV of Cash Flow</t>
  </si>
  <si>
    <t>Annual Pre-Market Patent Fees</t>
  </si>
  <si>
    <t>Page 4</t>
  </si>
  <si>
    <t>RISK-ADDED COSTS</t>
  </si>
  <si>
    <t>Risk-Added Total Costs</t>
  </si>
  <si>
    <t>Phase 3</t>
  </si>
  <si>
    <t>Per Patient Phase 3</t>
  </si>
  <si>
    <t>Phase 3 Ends</t>
  </si>
  <si>
    <t>Trials - Phase 3</t>
  </si>
  <si>
    <t>Phase 2</t>
  </si>
  <si>
    <t>Per Patient Phase 2</t>
  </si>
  <si>
    <t>Phase 2 Ends</t>
  </si>
  <si>
    <t>Trials - Phase 2</t>
  </si>
  <si>
    <t>Phase 1</t>
  </si>
  <si>
    <t>Per Patient Phase 1</t>
  </si>
  <si>
    <t>Phase 1 Ends</t>
  </si>
  <si>
    <t>Trials - Phase 1</t>
  </si>
  <si>
    <t>PV of Revenue</t>
  </si>
  <si>
    <t>RATES</t>
  </si>
  <si>
    <t>COSTS</t>
  </si>
  <si>
    <t>MARKET DATA</t>
  </si>
  <si>
    <t>RISK MITIGATED (Entering phase)</t>
  </si>
  <si>
    <t>Page 5</t>
  </si>
  <si>
    <t>DATA ENTRY</t>
  </si>
  <si>
    <t>Page 6</t>
  </si>
  <si>
    <t>REVENUE FORECAST - PV</t>
  </si>
  <si>
    <t>CONTRIBUTION MARGIN - NPV</t>
  </si>
  <si>
    <t>VALUE PROFILE - rNPV</t>
  </si>
  <si>
    <r>
      <t>SUMMARY &amp; rNPV CHART</t>
    </r>
    <r>
      <rPr>
        <sz val="10"/>
        <rFont val="Arial"/>
        <family val="2"/>
      </rPr>
      <t xml:space="preserve"> - The </t>
    </r>
    <r>
      <rPr>
        <i/>
        <sz val="10"/>
        <rFont val="Arial"/>
        <family val="2"/>
      </rPr>
      <t>rNPV</t>
    </r>
    <r>
      <rPr>
        <sz val="10"/>
        <rFont val="Arial"/>
        <family val="2"/>
      </rPr>
      <t xml:space="preserve"> is graphically represented as a function of time.  PV of Revenue, NPV of Cash Flow, and</t>
    </r>
    <r>
      <rPr>
        <i/>
        <sz val="10"/>
        <rFont val="Arial"/>
        <family val="2"/>
      </rPr>
      <t xml:space="preserve"> rNPV</t>
    </r>
    <r>
      <rPr>
        <sz val="10"/>
        <rFont val="Arial"/>
        <family val="2"/>
      </rPr>
      <t xml:space="preserve"> are summarized.</t>
    </r>
  </si>
  <si>
    <t>Risk Adjustment</t>
  </si>
  <si>
    <t>PV of Risk-Added Total Costs</t>
  </si>
  <si>
    <t>Risk-Added and Adjusted Values</t>
  </si>
  <si>
    <t>Step 1</t>
  </si>
  <si>
    <t>Step 2</t>
  </si>
  <si>
    <t>Step 3</t>
  </si>
  <si>
    <t>Model Instructions</t>
  </si>
  <si>
    <t>Page 2</t>
  </si>
  <si>
    <t>SUMMARY &amp; VALUE PROFILE - rNPV</t>
  </si>
  <si>
    <r>
      <t>COVER DATA</t>
    </r>
    <r>
      <rPr>
        <sz val="10"/>
        <rFont val="Arial"/>
        <family val="0"/>
      </rPr>
      <t xml:space="preserve"> - Complete the data input on the "Cover" worksheet as directed by the cell notes on the "Cover" worksheet.</t>
    </r>
  </si>
  <si>
    <r>
      <t xml:space="preserve">Practically, it is simpler to risk-add the annual costs and include them in a discounted </t>
    </r>
    <r>
      <rPr>
        <sz val="10"/>
        <rFont val="Arial"/>
        <family val="2"/>
      </rPr>
      <t>cash-flow analysis and only risk-adjust for current risk after discounting</t>
    </r>
    <r>
      <rPr>
        <sz val="10"/>
        <rFont val="Arial"/>
        <family val="0"/>
      </rPr>
      <t xml:space="preserve">.  That is, a cost </t>
    </r>
    <r>
      <rPr>
        <i/>
        <sz val="10"/>
        <rFont val="Arial"/>
        <family val="2"/>
      </rPr>
      <t>C</t>
    </r>
    <r>
      <rPr>
        <sz val="7"/>
        <rFont val="Arial"/>
        <family val="2"/>
      </rPr>
      <t>i</t>
    </r>
    <r>
      <rPr>
        <sz val="10"/>
        <rFont val="Arial"/>
        <family val="2"/>
      </rPr>
      <t xml:space="preserve">, made when risk mediated is </t>
    </r>
    <r>
      <rPr>
        <i/>
        <sz val="10"/>
        <rFont val="Arial"/>
        <family val="2"/>
      </rPr>
      <t>R</t>
    </r>
    <r>
      <rPr>
        <sz val="7"/>
        <rFont val="Arial"/>
        <family val="2"/>
      </rPr>
      <t>i</t>
    </r>
    <r>
      <rPr>
        <sz val="10"/>
        <rFont val="Arial"/>
        <family val="2"/>
      </rPr>
      <t xml:space="preserve"> is accounted as a risk-added expenditure of </t>
    </r>
    <r>
      <rPr>
        <i/>
        <sz val="10"/>
        <rFont val="Arial"/>
        <family val="2"/>
      </rPr>
      <t>C</t>
    </r>
    <r>
      <rPr>
        <sz val="7"/>
        <rFont val="Arial"/>
        <family val="2"/>
      </rPr>
      <t>i</t>
    </r>
    <r>
      <rPr>
        <sz val="10"/>
        <rFont val="Arial"/>
        <family val="2"/>
      </rPr>
      <t>/</t>
    </r>
    <r>
      <rPr>
        <i/>
        <sz val="10"/>
        <rFont val="Arial"/>
        <family val="2"/>
      </rPr>
      <t>R</t>
    </r>
    <r>
      <rPr>
        <sz val="7"/>
        <rFont val="Arial"/>
        <family val="2"/>
      </rPr>
      <t>i</t>
    </r>
    <r>
      <rPr>
        <sz val="10"/>
        <rFont val="Arial"/>
        <family val="2"/>
      </rPr>
      <t>.  Risk-added expenditures (</t>
    </r>
    <r>
      <rPr>
        <i/>
        <sz val="10"/>
        <rFont val="Arial"/>
        <family val="2"/>
      </rPr>
      <t>C</t>
    </r>
    <r>
      <rPr>
        <sz val="7"/>
        <rFont val="Arial"/>
        <family val="2"/>
      </rPr>
      <t>i</t>
    </r>
    <r>
      <rPr>
        <sz val="10"/>
        <rFont val="Arial"/>
        <family val="2"/>
      </rPr>
      <t>/</t>
    </r>
    <r>
      <rPr>
        <i/>
        <sz val="10"/>
        <rFont val="Arial"/>
        <family val="2"/>
      </rPr>
      <t>R</t>
    </r>
    <r>
      <rPr>
        <sz val="7"/>
        <rFont val="Arial"/>
        <family val="2"/>
      </rPr>
      <t>i</t>
    </r>
    <r>
      <rPr>
        <sz val="10"/>
        <rFont val="Arial"/>
        <family val="2"/>
      </rPr>
      <t xml:space="preserve">) can be added directly to a typical cash flow that is discounted normally.  Finally, the NPV of the cash flow (including each </t>
    </r>
    <r>
      <rPr>
        <i/>
        <sz val="10"/>
        <rFont val="Arial"/>
        <family val="2"/>
      </rPr>
      <t>C</t>
    </r>
    <r>
      <rPr>
        <sz val="7"/>
        <rFont val="Arial"/>
        <family val="2"/>
      </rPr>
      <t>i</t>
    </r>
    <r>
      <rPr>
        <sz val="10"/>
        <rFont val="Arial"/>
        <family val="2"/>
      </rPr>
      <t>/</t>
    </r>
    <r>
      <rPr>
        <i/>
        <sz val="10"/>
        <rFont val="Arial"/>
        <family val="2"/>
      </rPr>
      <t>R</t>
    </r>
    <r>
      <rPr>
        <sz val="7"/>
        <rFont val="Arial"/>
        <family val="2"/>
      </rPr>
      <t>i</t>
    </r>
    <r>
      <rPr>
        <sz val="10"/>
        <rFont val="Arial"/>
        <family val="2"/>
      </rPr>
      <t>) is risk-adjusted by the current risk mediated (</t>
    </r>
    <r>
      <rPr>
        <i/>
        <sz val="10"/>
        <rFont val="Arial"/>
        <family val="2"/>
      </rPr>
      <t>R</t>
    </r>
    <r>
      <rPr>
        <sz val="7"/>
        <rFont val="Arial"/>
        <family val="2"/>
      </rPr>
      <t>0</t>
    </r>
    <r>
      <rPr>
        <sz val="10"/>
        <rFont val="Arial"/>
        <family val="2"/>
      </rPr>
      <t>).</t>
    </r>
  </si>
  <si>
    <t>Maximum = population of U.S., Canada, western Europe, and Japan</t>
  </si>
  <si>
    <t>CIA World Factbook, 2000.  Estimated Growth in US and Europe Population</t>
  </si>
  <si>
    <t>Intellectual Property Valuation</t>
  </si>
  <si>
    <t>Total Years of Pre-market Development</t>
  </si>
  <si>
    <t>Annual Growth</t>
  </si>
  <si>
    <r>
      <t xml:space="preserve">PRINT </t>
    </r>
    <r>
      <rPr>
        <sz val="10"/>
        <rFont val="Arial"/>
        <family val="0"/>
      </rPr>
      <t>- Print either the relevant worksheets or the entire workbook.  Print pages have been predefined and will print an 8 1/2 x 11 inch presentation-quality valuation package.  To print all pages, select "Entire Workbook" on the "Print" screen.</t>
    </r>
  </si>
  <si>
    <r>
      <t>Taking only risk-adjustment into account, the risk-adjusted value (</t>
    </r>
    <r>
      <rPr>
        <i/>
        <sz val="10"/>
        <rFont val="Arial"/>
        <family val="2"/>
      </rPr>
      <t>rV</t>
    </r>
    <r>
      <rPr>
        <sz val="10"/>
        <rFont val="Arial"/>
        <family val="2"/>
      </rPr>
      <t>)</t>
    </r>
    <r>
      <rPr>
        <sz val="10"/>
        <rFont val="Arial"/>
        <family val="0"/>
      </rPr>
      <t xml:space="preserve"> of an endeavor in which the risk changes is the payoff (</t>
    </r>
    <r>
      <rPr>
        <i/>
        <sz val="10"/>
        <rFont val="Arial"/>
        <family val="2"/>
      </rPr>
      <t>P</t>
    </r>
    <r>
      <rPr>
        <sz val="10"/>
        <rFont val="Arial"/>
        <family val="0"/>
      </rPr>
      <t>) times the current risk (</t>
    </r>
    <r>
      <rPr>
        <i/>
        <sz val="10"/>
        <rFont val="Arial"/>
        <family val="2"/>
      </rPr>
      <t>R</t>
    </r>
    <r>
      <rPr>
        <sz val="7"/>
        <rFont val="Arial"/>
        <family val="2"/>
      </rPr>
      <t>0</t>
    </r>
    <r>
      <rPr>
        <sz val="10"/>
        <rFont val="Arial"/>
        <family val="0"/>
      </rPr>
      <t>) minus each associated cost (</t>
    </r>
    <r>
      <rPr>
        <i/>
        <sz val="10"/>
        <rFont val="Arial"/>
        <family val="2"/>
      </rPr>
      <t>C</t>
    </r>
    <r>
      <rPr>
        <sz val="7"/>
        <rFont val="Arial"/>
        <family val="2"/>
      </rPr>
      <t>i</t>
    </r>
    <r>
      <rPr>
        <sz val="10"/>
        <rFont val="Arial"/>
        <family val="0"/>
      </rPr>
      <t>) times the likelihood (</t>
    </r>
    <r>
      <rPr>
        <i/>
        <sz val="10"/>
        <rFont val="Arial"/>
        <family val="2"/>
      </rPr>
      <t>R</t>
    </r>
    <r>
      <rPr>
        <sz val="7"/>
        <rFont val="Arial"/>
        <family val="2"/>
      </rPr>
      <t>0</t>
    </r>
    <r>
      <rPr>
        <sz val="10"/>
        <rFont val="Arial"/>
        <family val="0"/>
      </rPr>
      <t>/</t>
    </r>
    <r>
      <rPr>
        <i/>
        <sz val="10"/>
        <rFont val="Arial"/>
        <family val="2"/>
      </rPr>
      <t>R</t>
    </r>
    <r>
      <rPr>
        <sz val="7"/>
        <rFont val="Arial"/>
        <family val="2"/>
      </rPr>
      <t>i</t>
    </r>
    <r>
      <rPr>
        <sz val="10"/>
        <rFont val="Arial"/>
        <family val="0"/>
      </rPr>
      <t>) of having to pay each cost.</t>
    </r>
  </si>
  <si>
    <t>NOTE - ORPHAN DRUG TAX CREDITS:  Although tax credits are not revenue in terms of GAAP, tax credits are a benefit that nearly universally impact the value of a biotechnology.  For this reason we  have considered orphan drug tax credits as a "revenue," or benefit, of developing this drug.</t>
  </si>
  <si>
    <r>
      <t>By extension, the risk-adjusted net present value (</t>
    </r>
    <r>
      <rPr>
        <i/>
        <sz val="10"/>
        <rFont val="Arial"/>
        <family val="2"/>
      </rPr>
      <t>rNPV</t>
    </r>
    <r>
      <rPr>
        <sz val="10"/>
        <rFont val="Arial"/>
        <family val="2"/>
      </rPr>
      <t>) is simply a time discount of each risk-adjusted factor.</t>
    </r>
  </si>
  <si>
    <t>Animal studies supporting Phase 1</t>
  </si>
  <si>
    <t>Animal studies supporting Phase 2</t>
  </si>
  <si>
    <t>Animal studies supporting Phase 3</t>
  </si>
  <si>
    <t>NUMBER OF CLINICAL TRIAL SUBJECTS</t>
  </si>
  <si>
    <t>`</t>
  </si>
  <si>
    <t>DURATION OF PHASES (YEARS)</t>
  </si>
  <si>
    <t>Animal Studies 1 (1st year)</t>
  </si>
  <si>
    <t>Animal Studies 2 (all years)</t>
  </si>
  <si>
    <t>Animal Studies 3 (1st 2 years)</t>
  </si>
  <si>
    <t>NPV Contribution Margin</t>
  </si>
  <si>
    <r>
      <t>Theoretical Basis for Valuation Methodology</t>
    </r>
    <r>
      <rPr>
        <sz val="10"/>
        <rFont val="Arial"/>
        <family val="2"/>
      </rPr>
      <t xml:space="preserve"> - As discussed in detail in Stewart, Allison, and Johnson "Putting a Price on Biotechnology" </t>
    </r>
    <r>
      <rPr>
        <i/>
        <sz val="10"/>
        <rFont val="Arial"/>
        <family val="2"/>
      </rPr>
      <t>Nature Biotechnology</t>
    </r>
    <r>
      <rPr>
        <sz val="10"/>
        <rFont val="Arial"/>
        <family val="2"/>
      </rPr>
      <t xml:space="preserve"> Sept. 2001, biotechnology value is estimated by a combination of risk-adjustment and discounting the anticipated cash flow.</t>
    </r>
  </si>
  <si>
    <t>RISK MEDIATED</t>
  </si>
  <si>
    <t>Risk Adjusted PV of Total Costs</t>
  </si>
  <si>
    <t>PV of Product Revenue</t>
  </si>
  <si>
    <t>PRODUCT REVENUE</t>
  </si>
  <si>
    <t>Revenue Forecast</t>
  </si>
  <si>
    <t>Market Share</t>
  </si>
  <si>
    <t>PV of ODTC</t>
  </si>
  <si>
    <t>Product Revenue</t>
  </si>
  <si>
    <r>
      <t>PV of Revenue</t>
    </r>
    <r>
      <rPr>
        <sz val="15"/>
        <rFont val="Arial"/>
        <family val="2"/>
      </rPr>
      <t xml:space="preserve"> (Product + ODTC)</t>
    </r>
  </si>
  <si>
    <t>ODTC</t>
  </si>
  <si>
    <t>Risk-Adjusted PV Revenue</t>
  </si>
  <si>
    <t>BIOTECHNOLOGY VALUATION</t>
  </si>
  <si>
    <t>VALUATION PARAMETERS</t>
  </si>
  <si>
    <r>
      <t>VALUATION PARAMETERS</t>
    </r>
    <r>
      <rPr>
        <sz val="10"/>
        <rFont val="Arial"/>
        <family val="0"/>
      </rPr>
      <t xml:space="preserve"> - This page defines the variables used in the analysis. </t>
    </r>
  </si>
  <si>
    <t>Biotechnology Name</t>
  </si>
  <si>
    <t>Please note that we have preloaded some of the data input cells on the "Valuation Parameters" page with formulas for initial ease of use.  These cells are intended to be overridden with user data.</t>
  </si>
  <si>
    <t>Draft 1.0</t>
  </si>
  <si>
    <t>Copyright © 2001 BioGenetic  Ventures, Inc.</t>
  </si>
  <si>
    <t>Years of Revenue</t>
  </si>
  <si>
    <r>
      <t>REVENUE FORECAST - PV -</t>
    </r>
    <r>
      <rPr>
        <sz val="10"/>
        <rFont val="Arial"/>
        <family val="0"/>
      </rPr>
      <t xml:space="preserve"> This page provides a 20 year revenue forecast for the drug or diagnostic.  Note that even though the revenue analysis begins in the current year, revenue is not recognized in the analysis until the product reaches the market.  Revenue is recognized according to the value of "Years of Revenue" on the data entry page. </t>
    </r>
  </si>
  <si>
    <r>
      <t>CONTRIBUTION MARGIN - NPV</t>
    </r>
    <r>
      <rPr>
        <sz val="10"/>
        <rFont val="Arial"/>
        <family val="0"/>
      </rPr>
      <t xml:space="preserve"> - This analysis estimates the current value of the contribution margin of the technology.  Contribution margin is defined as the net cash contribution (revenue less direct costs).   We do not consider operating expenses here because overhead application rates vary considerably from one company to another and are therefore irrelevant in </t>
    </r>
  </si>
  <si>
    <t>establishing an independent technology value.</t>
  </si>
  <si>
    <t>We do not consider operating expenses here because overhead application rates vary considerably from one company to another and are therefore irrelevant in establishing an independent technology value.</t>
  </si>
  <si>
    <t>CONTRIBUTION MARGIN - NPV - This analysis estimates the current value of the contribution margin of the technology.  Contribution margin is defined as the net cash contribution (revenue less direct costs).</t>
  </si>
  <si>
    <r>
      <t xml:space="preserve">MODEL DATA </t>
    </r>
    <r>
      <rPr>
        <sz val="10"/>
        <rFont val="Arial"/>
        <family val="0"/>
      </rPr>
      <t>- Enter the relevant metric data</t>
    </r>
    <r>
      <rPr>
        <sz val="10"/>
        <rFont val="Arial"/>
        <family val="2"/>
      </rPr>
      <t xml:space="preserve"> on the "Valuation Parameters" pa</t>
    </r>
    <r>
      <rPr>
        <sz val="10"/>
        <rFont val="Arial"/>
        <family val="0"/>
      </rPr>
      <t xml:space="preserve">ge (first page) under the "Analysis" worksheet tab.  Do not enter any data on the other schedules (except the "other" line in the "Contribution Margin - NPV" schedule, as needed) in the "Analysis" worksheet.  The data produced here are all generated as a result of the metric parameters input onto the "Valuation </t>
    </r>
  </si>
  <si>
    <t>Parameters" page.</t>
  </si>
  <si>
    <t>Company/Institution  Name</t>
  </si>
  <si>
    <t>Company/Institution Address</t>
  </si>
  <si>
    <t xml:space="preserve"> the NPV of the future costs (C), and the risk mediated (R) at each stage of development.  The rNPV is calculated for each year of the drug or treatment's product life cycle.</t>
  </si>
  <si>
    <r>
      <t xml:space="preserve">VALUE PROFILE - rNPV </t>
    </r>
    <r>
      <rPr>
        <sz val="10"/>
        <rFont val="Arial"/>
        <family val="0"/>
      </rPr>
      <t>- Every biotechnology has a risk-adjusted net present value (rNPV) that is a function of the NPV of the future payoff (P),</t>
    </r>
  </si>
  <si>
    <r>
      <t xml:space="preserve">VALUE PROFILE - rNPV </t>
    </r>
    <r>
      <rPr>
        <sz val="15"/>
        <rFont val="Arial"/>
        <family val="2"/>
      </rPr>
      <t>- Every biotechnology has a risk-adjusted net present value (rNPV) that is a function of the NPV of the future payoff (P),</t>
    </r>
  </si>
  <si>
    <r>
      <t>SUMMARY &amp; rNPV CHART</t>
    </r>
    <r>
      <rPr>
        <sz val="18"/>
        <rFont val="Arial"/>
        <family val="2"/>
      </rPr>
      <t xml:space="preserve"> - The rNPV is graphically represented as a function of time.  PV of Revenue, NPV of Cash Flow, and rNPV are summarized.</t>
    </r>
  </si>
  <si>
    <t>Example: A treatment has completed Phase I.  $3M is needed to complete Phase II, where the risk mediated is the industry average of 30%.  $50M more will be needed to complete Phase III, where the risk mediated is the industry average of 67%.  The Phase II expenditures are risk-added to $10M ($3M / 30%).  The Phase III costs are risk-adjusted to $75M.  ($50M / 67%).  These risk-added expenditures are added as costs to the NPV calculation.  Finally, the NPV (that now includes risk-added costs) is risk-adjusted by the risk mediated to date (in this example, 30%).</t>
  </si>
  <si>
    <t xml:space="preserve">Comments regarding this model may be sent to Ron Johnson (svcg@moscow.com) </t>
  </si>
  <si>
    <t>Version 6.1</t>
  </si>
  <si>
    <r>
      <t xml:space="preserve">TRIALS </t>
    </r>
    <r>
      <rPr>
        <sz val="16"/>
        <rFont val="Arial"/>
        <family val="2"/>
      </rPr>
      <t>- End of Trial Periods</t>
    </r>
  </si>
  <si>
    <t>Royalties Generated</t>
  </si>
  <si>
    <t>Revenue Generated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</si>
</sst>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_(* #,##0.0_);_(* \(#,##0.0\);_(* &quot;-&quot;??_);_(@_)"/>
    <numFmt numFmtId="167" formatCode="0.0%"/>
    <numFmt numFmtId="168" formatCode="_(* #,##0.000_);_(* \(#,##0.000\);_(* &quot;-&quot;??_);_(@_)"/>
    <numFmt numFmtId="169" formatCode="mmmm\ d\,\ yyyy"/>
    <numFmt numFmtId="170" formatCode="_(* #,##0.0000_);_(* \(#,##0.0000\);_(* &quot;-&quot;??_);_(@_)"/>
    <numFmt numFmtId="171" formatCode="_(&quot;$&quot;* #,##0.0_);_(&quot;$&quot;* \(#,##0.0\);_(&quot;$&quot;* &quot;-&quot;??_);_(@_)"/>
    <numFmt numFmtId="172" formatCode="_(&quot;$&quot;* #,##0_);_(&quot;$&quot;* \(#,##0\);_(&quot;$&quot;* &quot;-&quot;??_);_(@_)"/>
    <numFmt numFmtId="173" formatCode="_(&quot;$&quot;* #,##0.000_);_(&quot;$&quot;* \(#,##0.000\);_(&quot;$&quot;* &quot;-&quot;??_);_(@_)"/>
    <numFmt numFmtId="174" formatCode="&quot;$&quot;#,##0.0_);[Red]\(&quot;$&quot;#,##0.0\)"/>
    <numFmt numFmtId="175" formatCode="_(* #,##0.0_);_(* \(#,##0.0\);_(* &quot;-&quot;?_);_(@_)"/>
    <numFmt numFmtId="176" formatCode="0.0"/>
    <numFmt numFmtId="177" formatCode="&quot;$&quot;#,##0.000_);[Red]\(&quot;$&quot;#,##0.000\)"/>
    <numFmt numFmtId="178" formatCode="0.000%"/>
    <numFmt numFmtId="179" formatCode="&quot;Yes&quot;;&quot;Yes&quot;;&quot;No&quot;"/>
    <numFmt numFmtId="180" formatCode="&quot;True&quot;;&quot;True&quot;;&quot;False&quot;"/>
    <numFmt numFmtId="181" formatCode="&quot;On&quot;;&quot;On&quot;;&quot;Off&quot;"/>
    <numFmt numFmtId="182" formatCode="0.000"/>
    <numFmt numFmtId="183" formatCode="0.0000"/>
    <numFmt numFmtId="184" formatCode="#,##0.000"/>
    <numFmt numFmtId="185" formatCode="#,##0.0"/>
  </numFmts>
  <fonts count="78">
    <font>
      <sz val="10"/>
      <name val="Arial"/>
      <family val="0"/>
    </font>
    <font>
      <sz val="14"/>
      <name val="Arial"/>
      <family val="2"/>
    </font>
    <font>
      <b/>
      <sz val="14"/>
      <name val="Arial"/>
      <family val="2"/>
    </font>
    <font>
      <sz val="10"/>
      <name val="Arial MT"/>
      <family val="0"/>
    </font>
    <font>
      <b/>
      <sz val="8"/>
      <name val="Arial MT"/>
      <family val="0"/>
    </font>
    <font>
      <sz val="8"/>
      <name val="Arial MT"/>
      <family val="0"/>
    </font>
    <font>
      <b/>
      <sz val="10"/>
      <color indexed="10"/>
      <name val="Arial"/>
      <family val="2"/>
    </font>
    <font>
      <sz val="12"/>
      <name val="Arial"/>
      <family val="2"/>
    </font>
    <font>
      <b/>
      <sz val="22"/>
      <name val="Arial"/>
      <family val="2"/>
    </font>
    <font>
      <sz val="16"/>
      <name val="Arial"/>
      <family val="2"/>
    </font>
    <font>
      <b/>
      <sz val="16"/>
      <name val="Arial"/>
      <family val="2"/>
    </font>
    <font>
      <i/>
      <sz val="10"/>
      <name val="Arial MT"/>
      <family val="0"/>
    </font>
    <font>
      <sz val="8"/>
      <name val="Arial"/>
      <family val="2"/>
    </font>
    <font>
      <sz val="15"/>
      <name val="Arial"/>
      <family val="2"/>
    </font>
    <font>
      <b/>
      <sz val="15"/>
      <name val="Arial"/>
      <family val="2"/>
    </font>
    <font>
      <b/>
      <sz val="15"/>
      <color indexed="12"/>
      <name val="Arial"/>
      <family val="2"/>
    </font>
    <font>
      <sz val="15"/>
      <color indexed="12"/>
      <name val="Arial"/>
      <family val="2"/>
    </font>
    <font>
      <sz val="16"/>
      <color indexed="12"/>
      <name val="Arial"/>
      <family val="2"/>
    </font>
    <font>
      <b/>
      <sz val="14"/>
      <color indexed="10"/>
      <name val="Arial"/>
      <family val="2"/>
    </font>
    <font>
      <b/>
      <u val="single"/>
      <sz val="12"/>
      <name val="Arial MT"/>
      <family val="0"/>
    </font>
    <font>
      <sz val="12"/>
      <name val="Arial MT"/>
      <family val="0"/>
    </font>
    <font>
      <b/>
      <sz val="18"/>
      <color indexed="9"/>
      <name val="Arial"/>
      <family val="2"/>
    </font>
    <font>
      <b/>
      <sz val="22"/>
      <color indexed="9"/>
      <name val="Arial"/>
      <family val="2"/>
    </font>
    <font>
      <b/>
      <sz val="22"/>
      <color indexed="8"/>
      <name val="Arial"/>
      <family val="2"/>
    </font>
    <font>
      <sz val="14"/>
      <color indexed="8"/>
      <name val="Arial"/>
      <family val="2"/>
    </font>
    <font>
      <b/>
      <sz val="15"/>
      <color indexed="9"/>
      <name val="Arial"/>
      <family val="2"/>
    </font>
    <font>
      <b/>
      <sz val="16"/>
      <color indexed="9"/>
      <name val="Arial"/>
      <family val="2"/>
    </font>
    <font>
      <u val="single"/>
      <sz val="10"/>
      <color indexed="12"/>
      <name val="Arial"/>
      <family val="0"/>
    </font>
    <font>
      <u val="single"/>
      <sz val="10"/>
      <color indexed="36"/>
      <name val="Arial"/>
      <family val="0"/>
    </font>
    <font>
      <b/>
      <sz val="10"/>
      <name val="Arial"/>
      <family val="2"/>
    </font>
    <font>
      <b/>
      <sz val="2.75"/>
      <name val="Arial"/>
      <family val="2"/>
    </font>
    <font>
      <sz val="9"/>
      <name val="Arial"/>
      <family val="2"/>
    </font>
    <font>
      <i/>
      <sz val="10"/>
      <name val="Arial"/>
      <family val="2"/>
    </font>
    <font>
      <b/>
      <sz val="10"/>
      <color indexed="9"/>
      <name val="Arial"/>
      <family val="2"/>
    </font>
    <font>
      <sz val="10"/>
      <color indexed="9"/>
      <name val="Arial"/>
      <family val="2"/>
    </font>
    <font>
      <b/>
      <u val="single"/>
      <sz val="15"/>
      <name val="Arial"/>
      <family val="2"/>
    </font>
    <font>
      <sz val="1"/>
      <name val="Arial"/>
      <family val="0"/>
    </font>
    <font>
      <b/>
      <sz val="1.25"/>
      <name val="Arial"/>
      <family val="2"/>
    </font>
    <font>
      <b/>
      <sz val="1"/>
      <name val="Arial"/>
      <family val="2"/>
    </font>
    <font>
      <b/>
      <sz val="20"/>
      <color indexed="9"/>
      <name val="Arial"/>
      <family val="2"/>
    </font>
    <font>
      <b/>
      <sz val="9.75"/>
      <name val="Arial"/>
      <family val="2"/>
    </font>
    <font>
      <sz val="4.25"/>
      <name val="Arial"/>
      <family val="0"/>
    </font>
    <font>
      <sz val="20"/>
      <name val="Arial"/>
      <family val="2"/>
    </font>
    <font>
      <b/>
      <sz val="11"/>
      <name val="Tahoma"/>
      <family val="2"/>
    </font>
    <font>
      <sz val="11"/>
      <name val="Tahoma"/>
      <family val="2"/>
    </font>
    <font>
      <b/>
      <sz val="24"/>
      <name val="Arial"/>
      <family val="2"/>
    </font>
    <font>
      <b/>
      <sz val="24"/>
      <color indexed="8"/>
      <name val="Arial"/>
      <family val="2"/>
    </font>
    <font>
      <b/>
      <sz val="18"/>
      <name val="Arial"/>
      <family val="2"/>
    </font>
    <font>
      <b/>
      <sz val="20"/>
      <color indexed="8"/>
      <name val="Arial"/>
      <family val="2"/>
    </font>
    <font>
      <sz val="18"/>
      <name val="Arial"/>
      <family val="2"/>
    </font>
    <font>
      <sz val="18"/>
      <color indexed="9"/>
      <name val="Arial"/>
      <family val="2"/>
    </font>
    <font>
      <sz val="18"/>
      <color indexed="48"/>
      <name val="Arial"/>
      <family val="2"/>
    </font>
    <font>
      <b/>
      <u val="single"/>
      <sz val="16"/>
      <name val="Arial"/>
      <family val="2"/>
    </font>
    <font>
      <sz val="18"/>
      <color indexed="8"/>
      <name val="Arial"/>
      <family val="2"/>
    </font>
    <font>
      <sz val="8"/>
      <name val="Tahoma"/>
      <family val="0"/>
    </font>
    <font>
      <sz val="16"/>
      <color indexed="8"/>
      <name val="Arial"/>
      <family val="2"/>
    </font>
    <font>
      <sz val="15"/>
      <color indexed="8"/>
      <name val="Arial"/>
      <family val="2"/>
    </font>
    <font>
      <b/>
      <sz val="15"/>
      <color indexed="8"/>
      <name val="Arial"/>
      <family val="2"/>
    </font>
    <font>
      <b/>
      <sz val="26"/>
      <color indexed="8"/>
      <name val="Arial"/>
      <family val="2"/>
    </font>
    <font>
      <sz val="11"/>
      <name val="Arial MT"/>
      <family val="0"/>
    </font>
    <font>
      <b/>
      <sz val="14"/>
      <color indexed="9"/>
      <name val="Arial"/>
      <family val="2"/>
    </font>
    <font>
      <b/>
      <sz val="12"/>
      <color indexed="8"/>
      <name val="Arial"/>
      <family val="2"/>
    </font>
    <font>
      <b/>
      <sz val="12"/>
      <name val="Arial"/>
      <family val="2"/>
    </font>
    <font>
      <b/>
      <sz val="11"/>
      <name val="Arial MT"/>
      <family val="0"/>
    </font>
    <font>
      <b/>
      <sz val="20"/>
      <name val="Arial"/>
      <family val="2"/>
    </font>
    <font>
      <b/>
      <sz val="18"/>
      <color indexed="10"/>
      <name val="Arial"/>
      <family val="2"/>
    </font>
    <font>
      <sz val="7"/>
      <name val="Arial"/>
      <family val="2"/>
    </font>
    <font>
      <sz val="17.5"/>
      <name val="Arial"/>
      <family val="0"/>
    </font>
    <font>
      <sz val="16.5"/>
      <name val="Arial"/>
      <family val="0"/>
    </font>
    <font>
      <b/>
      <sz val="10"/>
      <name val="Arial MT"/>
      <family val="0"/>
    </font>
    <font>
      <b/>
      <sz val="24"/>
      <name val="Tahoma"/>
      <family val="2"/>
    </font>
    <font>
      <b/>
      <sz val="19.5"/>
      <name val="Arial"/>
      <family val="2"/>
    </font>
    <font>
      <b/>
      <sz val="25.25"/>
      <name val="Arial"/>
      <family val="2"/>
    </font>
    <font>
      <sz val="14"/>
      <color indexed="22"/>
      <name val="Arial"/>
      <family val="2"/>
    </font>
    <font>
      <sz val="10"/>
      <color indexed="22"/>
      <name val="Arial"/>
      <family val="2"/>
    </font>
    <font>
      <b/>
      <sz val="32"/>
      <name val="Arial"/>
      <family val="2"/>
    </font>
    <font>
      <b/>
      <sz val="15.75"/>
      <name val="Arial"/>
      <family val="2"/>
    </font>
    <font>
      <b/>
      <sz val="8"/>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8"/>
        <bgColor indexed="64"/>
      </patternFill>
    </fill>
  </fills>
  <borders count="28">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58">
    <xf numFmtId="0" fontId="0" fillId="0" borderId="0" xfId="0" applyAlignment="1">
      <alignment/>
    </xf>
    <xf numFmtId="164" fontId="1" fillId="0" borderId="0" xfId="0" applyNumberFormat="1" applyFont="1" applyAlignment="1" applyProtection="1">
      <alignment/>
      <protection/>
    </xf>
    <xf numFmtId="164" fontId="1" fillId="0" borderId="0" xfId="0" applyNumberFormat="1" applyFont="1" applyAlignment="1" applyProtection="1">
      <alignment horizontal="right"/>
      <protection/>
    </xf>
    <xf numFmtId="0" fontId="1" fillId="0" borderId="0" xfId="0" applyFont="1" applyAlignment="1">
      <alignment/>
    </xf>
    <xf numFmtId="0" fontId="0" fillId="0" borderId="0" xfId="0" applyBorder="1" applyAlignment="1">
      <alignment/>
    </xf>
    <xf numFmtId="0" fontId="6" fillId="0" borderId="0" xfId="0" applyFont="1" applyAlignment="1">
      <alignment horizontal="center"/>
    </xf>
    <xf numFmtId="0" fontId="0" fillId="0" borderId="0" xfId="0" applyAlignment="1">
      <alignment/>
    </xf>
    <xf numFmtId="0" fontId="0"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Alignment="1" quotePrefix="1">
      <alignment horizontal="left"/>
    </xf>
    <xf numFmtId="0" fontId="8" fillId="0" borderId="0" xfId="0" applyFont="1" applyAlignment="1">
      <alignment horizontal="centerContinuous"/>
    </xf>
    <xf numFmtId="0" fontId="0" fillId="0" borderId="0" xfId="0" applyFont="1" applyAlignment="1">
      <alignment/>
    </xf>
    <xf numFmtId="0" fontId="10" fillId="0" borderId="0" xfId="0" applyFont="1" applyAlignment="1">
      <alignment horizontal="centerContinuous"/>
    </xf>
    <xf numFmtId="0" fontId="11" fillId="0" borderId="0" xfId="0" applyFont="1" applyBorder="1" applyAlignment="1">
      <alignment horizontal="centerContinuous"/>
    </xf>
    <xf numFmtId="169" fontId="9" fillId="0" borderId="0" xfId="0" applyNumberFormat="1" applyFont="1" applyAlignment="1" quotePrefix="1">
      <alignment horizontal="centerContinuous"/>
    </xf>
    <xf numFmtId="0" fontId="12" fillId="0" borderId="0" xfId="0" applyFont="1" applyAlignment="1">
      <alignment/>
    </xf>
    <xf numFmtId="169" fontId="1" fillId="0" borderId="0" xfId="0" applyNumberFormat="1" applyFont="1" applyAlignment="1" quotePrefix="1">
      <alignment horizontal="centerContinuous"/>
    </xf>
    <xf numFmtId="0" fontId="1" fillId="0" borderId="0" xfId="0" applyFont="1" applyAlignment="1">
      <alignment horizontal="center"/>
    </xf>
    <xf numFmtId="0" fontId="1" fillId="0" borderId="1" xfId="0" applyFont="1" applyBorder="1" applyAlignment="1">
      <alignment/>
    </xf>
    <xf numFmtId="0" fontId="1" fillId="0" borderId="0" xfId="0" applyFont="1" applyBorder="1" applyAlignment="1">
      <alignment/>
    </xf>
    <xf numFmtId="165" fontId="1" fillId="0" borderId="0" xfId="15" applyNumberFormat="1" applyFont="1" applyBorder="1" applyAlignment="1">
      <alignment/>
    </xf>
    <xf numFmtId="0" fontId="13" fillId="0" borderId="0" xfId="0" applyFont="1" applyAlignment="1">
      <alignment/>
    </xf>
    <xf numFmtId="164" fontId="14" fillId="0" borderId="0" xfId="0" applyNumberFormat="1" applyFont="1" applyBorder="1" applyAlignment="1" applyProtection="1">
      <alignment horizontal="center"/>
      <protection/>
    </xf>
    <xf numFmtId="0" fontId="13" fillId="0" borderId="0" xfId="0" applyFont="1" applyBorder="1" applyAlignment="1">
      <alignment/>
    </xf>
    <xf numFmtId="37" fontId="15" fillId="0" borderId="0" xfId="0" applyNumberFormat="1" applyFont="1" applyBorder="1" applyAlignment="1" applyProtection="1">
      <alignment horizontal="left"/>
      <protection/>
    </xf>
    <xf numFmtId="166" fontId="16" fillId="0" borderId="0" xfId="15" applyNumberFormat="1" applyFont="1" applyFill="1" applyBorder="1" applyAlignment="1" applyProtection="1">
      <alignment/>
      <protection/>
    </xf>
    <xf numFmtId="37" fontId="13" fillId="0" borderId="0" xfId="0" applyNumberFormat="1" applyFont="1" applyBorder="1" applyAlignment="1" applyProtection="1">
      <alignment horizontal="left"/>
      <protection/>
    </xf>
    <xf numFmtId="165" fontId="13" fillId="0" borderId="0" xfId="15" applyNumberFormat="1" applyFont="1" applyFill="1" applyBorder="1" applyAlignment="1" applyProtection="1">
      <alignment/>
      <protection/>
    </xf>
    <xf numFmtId="165" fontId="13" fillId="0" borderId="0" xfId="0" applyNumberFormat="1" applyFont="1" applyAlignment="1">
      <alignment/>
    </xf>
    <xf numFmtId="167" fontId="13" fillId="0" borderId="0" xfId="22" applyNumberFormat="1" applyFont="1" applyBorder="1" applyAlignment="1">
      <alignment/>
    </xf>
    <xf numFmtId="0" fontId="13" fillId="0" borderId="2" xfId="0" applyFont="1" applyBorder="1" applyAlignment="1">
      <alignment/>
    </xf>
    <xf numFmtId="0" fontId="1" fillId="0" borderId="2" xfId="0" applyFont="1" applyBorder="1" applyAlignment="1">
      <alignment/>
    </xf>
    <xf numFmtId="37" fontId="13" fillId="0" borderId="0" xfId="0" applyNumberFormat="1" applyFont="1" applyBorder="1" applyAlignment="1" applyProtection="1">
      <alignment horizontal="right"/>
      <protection/>
    </xf>
    <xf numFmtId="0" fontId="14" fillId="0" borderId="0" xfId="0" applyFont="1" applyAlignment="1">
      <alignment horizontal="center"/>
    </xf>
    <xf numFmtId="0" fontId="17" fillId="0" borderId="0" xfId="0" applyFont="1" applyAlignment="1">
      <alignment horizontal="centerContinuous"/>
    </xf>
    <xf numFmtId="0" fontId="13" fillId="0" borderId="0" xfId="0" applyFont="1" applyAlignment="1">
      <alignment horizontal="center"/>
    </xf>
    <xf numFmtId="0" fontId="13" fillId="0" borderId="0" xfId="0" applyFont="1" applyBorder="1" applyAlignment="1">
      <alignment horizontal="center"/>
    </xf>
    <xf numFmtId="0" fontId="13" fillId="0" borderId="3" xfId="0" applyFont="1" applyBorder="1" applyAlignment="1">
      <alignment/>
    </xf>
    <xf numFmtId="0" fontId="22" fillId="2" borderId="0" xfId="0" applyFont="1" applyFill="1" applyAlignment="1">
      <alignment/>
    </xf>
    <xf numFmtId="164" fontId="22" fillId="2" borderId="0" xfId="0" applyNumberFormat="1" applyFont="1" applyFill="1" applyAlignment="1" applyProtection="1">
      <alignment horizontal="left"/>
      <protection/>
    </xf>
    <xf numFmtId="164" fontId="23" fillId="0" borderId="0" xfId="0" applyNumberFormat="1" applyFont="1" applyFill="1" applyAlignment="1" applyProtection="1">
      <alignment horizontal="left"/>
      <protection/>
    </xf>
    <xf numFmtId="0" fontId="23" fillId="0" borderId="0" xfId="0" applyFont="1" applyFill="1" applyAlignment="1">
      <alignment/>
    </xf>
    <xf numFmtId="0" fontId="24" fillId="0" borderId="0" xfId="0" applyFont="1" applyFill="1" applyAlignment="1">
      <alignment/>
    </xf>
    <xf numFmtId="165" fontId="21" fillId="2" borderId="0" xfId="15" applyNumberFormat="1" applyFont="1" applyFill="1" applyBorder="1" applyAlignment="1" applyProtection="1">
      <alignment/>
      <protection/>
    </xf>
    <xf numFmtId="165" fontId="1" fillId="0" borderId="0" xfId="0" applyNumberFormat="1" applyFont="1" applyAlignment="1">
      <alignment/>
    </xf>
    <xf numFmtId="0" fontId="2" fillId="0" borderId="0" xfId="0" applyFont="1" applyAlignment="1">
      <alignment/>
    </xf>
    <xf numFmtId="165" fontId="13" fillId="0" borderId="3" xfId="0" applyNumberFormat="1" applyFont="1" applyBorder="1" applyAlignment="1">
      <alignment/>
    </xf>
    <xf numFmtId="165" fontId="1" fillId="0" borderId="0" xfId="0" applyNumberFormat="1" applyFont="1" applyBorder="1" applyAlignment="1">
      <alignment/>
    </xf>
    <xf numFmtId="0" fontId="25" fillId="3" borderId="4" xfId="0" applyFont="1" applyFill="1" applyBorder="1" applyAlignment="1">
      <alignment horizontal="center"/>
    </xf>
    <xf numFmtId="0" fontId="26" fillId="3" borderId="4" xfId="0" applyFont="1" applyFill="1" applyBorder="1" applyAlignment="1">
      <alignment horizontal="center"/>
    </xf>
    <xf numFmtId="0" fontId="1" fillId="0" borderId="0" xfId="0" applyFont="1" applyFill="1" applyBorder="1" applyAlignment="1">
      <alignment/>
    </xf>
    <xf numFmtId="164" fontId="1" fillId="2" borderId="0" xfId="0" applyNumberFormat="1" applyFont="1" applyFill="1" applyAlignment="1" applyProtection="1">
      <alignment/>
      <protection/>
    </xf>
    <xf numFmtId="0" fontId="21" fillId="2" borderId="0" xfId="0" applyFont="1" applyFill="1" applyAlignment="1">
      <alignment/>
    </xf>
    <xf numFmtId="0" fontId="33" fillId="2" borderId="0" xfId="0" applyFont="1" applyFill="1" applyAlignment="1">
      <alignment/>
    </xf>
    <xf numFmtId="0" fontId="34" fillId="2" borderId="0" xfId="0" applyFont="1" applyFill="1" applyAlignment="1">
      <alignment/>
    </xf>
    <xf numFmtId="37" fontId="35" fillId="0" borderId="0" xfId="0" applyNumberFormat="1" applyFont="1" applyBorder="1" applyAlignment="1" applyProtection="1">
      <alignment horizontal="left"/>
      <protection/>
    </xf>
    <xf numFmtId="165" fontId="1" fillId="0" borderId="0" xfId="15" applyNumberFormat="1" applyFont="1" applyFill="1" applyBorder="1" applyAlignment="1" applyProtection="1">
      <alignment/>
      <protection/>
    </xf>
    <xf numFmtId="0" fontId="14" fillId="0" borderId="0" xfId="0" applyFont="1" applyBorder="1" applyAlignment="1">
      <alignment/>
    </xf>
    <xf numFmtId="9" fontId="13" fillId="0" borderId="0" xfId="22" applyFont="1" applyAlignment="1">
      <alignment/>
    </xf>
    <xf numFmtId="165" fontId="13" fillId="0" borderId="1" xfId="15" applyNumberFormat="1" applyFont="1" applyFill="1" applyBorder="1" applyAlignment="1" applyProtection="1">
      <alignment/>
      <protection/>
    </xf>
    <xf numFmtId="165" fontId="13" fillId="0" borderId="5" xfId="15" applyNumberFormat="1" applyFont="1" applyFill="1" applyBorder="1" applyAlignment="1" applyProtection="1">
      <alignment/>
      <protection/>
    </xf>
    <xf numFmtId="165" fontId="13" fillId="0" borderId="0" xfId="0" applyNumberFormat="1" applyFont="1" applyBorder="1" applyAlignment="1">
      <alignment/>
    </xf>
    <xf numFmtId="165" fontId="1" fillId="0" borderId="0" xfId="15" applyNumberFormat="1" applyFont="1" applyFill="1" applyBorder="1" applyAlignment="1">
      <alignment/>
    </xf>
    <xf numFmtId="165" fontId="1" fillId="0" borderId="0" xfId="0" applyNumberFormat="1" applyFont="1" applyFill="1" applyBorder="1" applyAlignment="1">
      <alignment/>
    </xf>
    <xf numFmtId="0" fontId="25" fillId="0" borderId="3" xfId="0" applyFont="1" applyFill="1" applyBorder="1" applyAlignment="1">
      <alignment horizontal="center"/>
    </xf>
    <xf numFmtId="165" fontId="1" fillId="0" borderId="3" xfId="15" applyNumberFormat="1" applyFont="1" applyFill="1" applyBorder="1" applyAlignment="1">
      <alignment/>
    </xf>
    <xf numFmtId="165" fontId="1" fillId="0" borderId="3" xfId="15" applyNumberFormat="1" applyFont="1" applyFill="1" applyBorder="1" applyAlignment="1">
      <alignment horizontal="right"/>
    </xf>
    <xf numFmtId="0" fontId="25" fillId="3" borderId="6" xfId="0" applyFont="1" applyFill="1" applyBorder="1" applyAlignment="1">
      <alignment horizontal="center"/>
    </xf>
    <xf numFmtId="0" fontId="25" fillId="3" borderId="7" xfId="0" applyFont="1" applyFill="1" applyBorder="1" applyAlignment="1">
      <alignment horizontal="center"/>
    </xf>
    <xf numFmtId="41" fontId="13" fillId="0" borderId="0" xfId="17" applyNumberFormat="1" applyFont="1" applyAlignment="1">
      <alignment/>
    </xf>
    <xf numFmtId="172" fontId="0" fillId="0" borderId="0" xfId="17" applyNumberFormat="1" applyAlignment="1">
      <alignment/>
    </xf>
    <xf numFmtId="41" fontId="13" fillId="0" borderId="0" xfId="17" applyNumberFormat="1" applyFont="1" applyBorder="1" applyAlignment="1">
      <alignment/>
    </xf>
    <xf numFmtId="0" fontId="0" fillId="0" borderId="0" xfId="0" applyAlignment="1" applyProtection="1">
      <alignment/>
      <protection hidden="1"/>
    </xf>
    <xf numFmtId="0" fontId="0" fillId="0" borderId="0" xfId="0" applyAlignment="1">
      <alignment wrapText="1"/>
    </xf>
    <xf numFmtId="0" fontId="13" fillId="0" borderId="1" xfId="0" applyFont="1" applyBorder="1" applyAlignment="1">
      <alignment/>
    </xf>
    <xf numFmtId="0" fontId="42" fillId="0" borderId="0" xfId="0" applyFont="1" applyAlignment="1">
      <alignment horizontal="center"/>
    </xf>
    <xf numFmtId="0" fontId="45" fillId="0" borderId="0" xfId="0" applyFont="1" applyAlignment="1">
      <alignment horizontal="centerContinuous"/>
    </xf>
    <xf numFmtId="0" fontId="42" fillId="0" borderId="0" xfId="0" applyFont="1" applyAlignment="1">
      <alignment horizontal="centerContinuous"/>
    </xf>
    <xf numFmtId="0" fontId="47" fillId="0" borderId="1" xfId="0" applyFont="1" applyBorder="1" applyAlignment="1">
      <alignment/>
    </xf>
    <xf numFmtId="164" fontId="49" fillId="0" borderId="0" xfId="0" applyNumberFormat="1" applyFont="1" applyAlignment="1" applyProtection="1">
      <alignment horizontal="right"/>
      <protection/>
    </xf>
    <xf numFmtId="0" fontId="49" fillId="0" borderId="0" xfId="0" applyFont="1" applyBorder="1" applyAlignment="1">
      <alignment/>
    </xf>
    <xf numFmtId="165" fontId="50" fillId="0" borderId="0" xfId="15" applyNumberFormat="1" applyFont="1" applyFill="1" applyBorder="1" applyAlignment="1">
      <alignment horizontal="right"/>
    </xf>
    <xf numFmtId="0" fontId="51" fillId="0" borderId="0" xfId="0" applyFont="1" applyAlignment="1">
      <alignment horizontal="right"/>
    </xf>
    <xf numFmtId="0" fontId="49" fillId="0" borderId="0" xfId="0" applyFont="1" applyAlignment="1">
      <alignment horizontal="right"/>
    </xf>
    <xf numFmtId="0" fontId="49" fillId="0" borderId="0" xfId="0" applyFont="1" applyFill="1" applyBorder="1" applyAlignment="1">
      <alignment horizontal="right"/>
    </xf>
    <xf numFmtId="0" fontId="51" fillId="0" borderId="0" xfId="0" applyFont="1" applyBorder="1" applyAlignment="1">
      <alignment horizontal="right"/>
    </xf>
    <xf numFmtId="0" fontId="9" fillId="0" borderId="0" xfId="0" applyFont="1" applyAlignment="1">
      <alignment/>
    </xf>
    <xf numFmtId="0" fontId="49" fillId="0" borderId="0" xfId="0" applyFont="1" applyAlignment="1">
      <alignment/>
    </xf>
    <xf numFmtId="0" fontId="52" fillId="0" borderId="0" xfId="0" applyFont="1" applyAlignment="1">
      <alignment/>
    </xf>
    <xf numFmtId="0" fontId="0" fillId="0" borderId="0" xfId="0" applyAlignment="1">
      <alignment horizontal="left"/>
    </xf>
    <xf numFmtId="0" fontId="46" fillId="0" borderId="0" xfId="0" applyFont="1" applyAlignment="1">
      <alignment horizontal="centerContinuous"/>
    </xf>
    <xf numFmtId="0" fontId="55" fillId="0" borderId="0" xfId="0" applyFont="1" applyAlignment="1">
      <alignment horizontal="centerContinuous"/>
    </xf>
    <xf numFmtId="0" fontId="48" fillId="0" borderId="0" xfId="0" applyFont="1" applyFill="1" applyBorder="1" applyAlignment="1">
      <alignment/>
    </xf>
    <xf numFmtId="165" fontId="13" fillId="0" borderId="0" xfId="15" applyNumberFormat="1" applyFont="1" applyBorder="1" applyAlignment="1">
      <alignment/>
    </xf>
    <xf numFmtId="165" fontId="13" fillId="0" borderId="8" xfId="15" applyNumberFormat="1" applyFont="1" applyBorder="1" applyAlignment="1">
      <alignment/>
    </xf>
    <xf numFmtId="165" fontId="13" fillId="0" borderId="6" xfId="15" applyNumberFormat="1" applyFont="1" applyBorder="1" applyAlignment="1">
      <alignment/>
    </xf>
    <xf numFmtId="165" fontId="13" fillId="0" borderId="7" xfId="15" applyNumberFormat="1" applyFont="1" applyBorder="1" applyAlignment="1">
      <alignment/>
    </xf>
    <xf numFmtId="37" fontId="14" fillId="0" borderId="0" xfId="0" applyNumberFormat="1" applyFont="1" applyBorder="1" applyAlignment="1" applyProtection="1">
      <alignment horizontal="left"/>
      <protection/>
    </xf>
    <xf numFmtId="37" fontId="56" fillId="2" borderId="9" xfId="0" applyNumberFormat="1" applyFont="1" applyFill="1" applyBorder="1" applyAlignment="1" applyProtection="1">
      <alignment horizontal="left"/>
      <protection/>
    </xf>
    <xf numFmtId="37" fontId="56" fillId="2" borderId="1" xfId="0" applyNumberFormat="1" applyFont="1" applyFill="1" applyBorder="1" applyAlignment="1" applyProtection="1">
      <alignment horizontal="left"/>
      <protection/>
    </xf>
    <xf numFmtId="165" fontId="13" fillId="0" borderId="10" xfId="15" applyNumberFormat="1" applyFont="1" applyFill="1" applyBorder="1" applyAlignment="1" applyProtection="1">
      <alignment/>
      <protection/>
    </xf>
    <xf numFmtId="165" fontId="13" fillId="0" borderId="10" xfId="0" applyNumberFormat="1" applyFont="1" applyBorder="1" applyAlignment="1">
      <alignment/>
    </xf>
    <xf numFmtId="0" fontId="14" fillId="0" borderId="0" xfId="0" applyFont="1" applyAlignment="1">
      <alignment/>
    </xf>
    <xf numFmtId="0" fontId="13" fillId="0" borderId="10" xfId="0" applyFont="1" applyBorder="1" applyAlignment="1">
      <alignment horizontal="center"/>
    </xf>
    <xf numFmtId="0" fontId="13" fillId="0" borderId="10" xfId="0" applyFont="1" applyBorder="1" applyAlignment="1">
      <alignment/>
    </xf>
    <xf numFmtId="165" fontId="13" fillId="0" borderId="9" xfId="15" applyNumberFormat="1" applyFont="1" applyFill="1" applyBorder="1" applyAlignment="1" applyProtection="1">
      <alignment/>
      <protection/>
    </xf>
    <xf numFmtId="165" fontId="13" fillId="0" borderId="11" xfId="15" applyNumberFormat="1" applyFont="1" applyFill="1" applyBorder="1" applyAlignment="1" applyProtection="1">
      <alignment/>
      <protection/>
    </xf>
    <xf numFmtId="37" fontId="9" fillId="0" borderId="0" xfId="0" applyNumberFormat="1" applyFont="1" applyBorder="1" applyAlignment="1" applyProtection="1">
      <alignment horizontal="left"/>
      <protection/>
    </xf>
    <xf numFmtId="0" fontId="58" fillId="0" borderId="0" xfId="0" applyFont="1" applyFill="1" applyAlignment="1">
      <alignment/>
    </xf>
    <xf numFmtId="0" fontId="60" fillId="2" borderId="0" xfId="0" applyFont="1" applyFill="1" applyAlignment="1">
      <alignment/>
    </xf>
    <xf numFmtId="0" fontId="61" fillId="0" borderId="0" xfId="0" applyFont="1" applyFill="1" applyAlignment="1">
      <alignment/>
    </xf>
    <xf numFmtId="0" fontId="62" fillId="0" borderId="0" xfId="0" applyFont="1" applyAlignment="1">
      <alignment/>
    </xf>
    <xf numFmtId="0" fontId="0" fillId="0" borderId="0" xfId="0" applyFont="1" applyFill="1" applyAlignment="1">
      <alignment/>
    </xf>
    <xf numFmtId="37" fontId="64" fillId="0" borderId="3" xfId="0" applyNumberFormat="1" applyFont="1" applyBorder="1" applyAlignment="1" applyProtection="1">
      <alignment horizontal="left"/>
      <protection/>
    </xf>
    <xf numFmtId="165" fontId="9" fillId="0" borderId="0" xfId="15" applyNumberFormat="1" applyFont="1" applyBorder="1" applyAlignment="1">
      <alignment/>
    </xf>
    <xf numFmtId="165" fontId="9" fillId="0" borderId="0" xfId="0" applyNumberFormat="1" applyFont="1" applyBorder="1" applyAlignment="1">
      <alignment/>
    </xf>
    <xf numFmtId="0" fontId="29" fillId="0" borderId="0" xfId="0" applyFont="1" applyAlignment="1">
      <alignment/>
    </xf>
    <xf numFmtId="0" fontId="25" fillId="0" borderId="0" xfId="0" applyFont="1" applyFill="1" applyBorder="1" applyAlignment="1">
      <alignment horizontal="center"/>
    </xf>
    <xf numFmtId="0" fontId="25" fillId="3" borderId="10" xfId="0" applyFont="1" applyFill="1" applyBorder="1" applyAlignment="1">
      <alignment horizontal="center"/>
    </xf>
    <xf numFmtId="0" fontId="25" fillId="3" borderId="1" xfId="0" applyFont="1" applyFill="1" applyBorder="1" applyAlignment="1">
      <alignment horizontal="center"/>
    </xf>
    <xf numFmtId="0" fontId="65" fillId="0" borderId="0" xfId="0" applyFont="1" applyBorder="1" applyAlignment="1">
      <alignment/>
    </xf>
    <xf numFmtId="165" fontId="13" fillId="0" borderId="0" xfId="15" applyNumberFormat="1" applyFont="1" applyAlignment="1">
      <alignment/>
    </xf>
    <xf numFmtId="165" fontId="1" fillId="0" borderId="0" xfId="15" applyNumberFormat="1" applyFont="1" applyFill="1" applyBorder="1" applyAlignment="1">
      <alignment horizontal="right"/>
    </xf>
    <xf numFmtId="167" fontId="9" fillId="0" borderId="12" xfId="22" applyNumberFormat="1" applyFont="1" applyBorder="1" applyAlignment="1">
      <alignment/>
    </xf>
    <xf numFmtId="37" fontId="64" fillId="0" borderId="0" xfId="0" applyNumberFormat="1" applyFont="1" applyBorder="1" applyAlignment="1" applyProtection="1">
      <alignment horizontal="left"/>
      <protection/>
    </xf>
    <xf numFmtId="167" fontId="56" fillId="2" borderId="9" xfId="22" applyNumberFormat="1" applyFont="1" applyFill="1" applyBorder="1" applyAlignment="1">
      <alignment/>
    </xf>
    <xf numFmtId="165" fontId="13" fillId="2" borderId="11" xfId="15" applyNumberFormat="1" applyFont="1" applyFill="1" applyBorder="1" applyAlignment="1">
      <alignment/>
    </xf>
    <xf numFmtId="0" fontId="13" fillId="2" borderId="13" xfId="0" applyFont="1" applyFill="1" applyBorder="1" applyAlignment="1">
      <alignment/>
    </xf>
    <xf numFmtId="37" fontId="57" fillId="2" borderId="1" xfId="0" applyNumberFormat="1" applyFont="1" applyFill="1" applyBorder="1" applyAlignment="1" applyProtection="1">
      <alignment horizontal="left"/>
      <protection/>
    </xf>
    <xf numFmtId="165" fontId="56" fillId="2" borderId="1" xfId="0" applyNumberFormat="1" applyFont="1" applyFill="1" applyBorder="1" applyAlignment="1">
      <alignment/>
    </xf>
    <xf numFmtId="165" fontId="13" fillId="2" borderId="5" xfId="15" applyNumberFormat="1" applyFont="1" applyFill="1" applyBorder="1" applyAlignment="1" applyProtection="1">
      <alignment/>
      <protection/>
    </xf>
    <xf numFmtId="0" fontId="1" fillId="2" borderId="9" xfId="0" applyFont="1" applyFill="1" applyBorder="1" applyAlignment="1">
      <alignment/>
    </xf>
    <xf numFmtId="0" fontId="1" fillId="2" borderId="11" xfId="0" applyFont="1" applyFill="1" applyBorder="1" applyAlignment="1">
      <alignment/>
    </xf>
    <xf numFmtId="0" fontId="1" fillId="2" borderId="13" xfId="0" applyFont="1" applyFill="1" applyBorder="1" applyAlignment="1">
      <alignment/>
    </xf>
    <xf numFmtId="0" fontId="1" fillId="2" borderId="1" xfId="0" applyFont="1" applyFill="1" applyBorder="1" applyAlignment="1">
      <alignment/>
    </xf>
    <xf numFmtId="0" fontId="1" fillId="2" borderId="5" xfId="0" applyFont="1" applyFill="1" applyBorder="1" applyAlignment="1">
      <alignment/>
    </xf>
    <xf numFmtId="0" fontId="25" fillId="3" borderId="14" xfId="0" applyFont="1" applyFill="1" applyBorder="1" applyAlignment="1">
      <alignment horizontal="center"/>
    </xf>
    <xf numFmtId="0" fontId="25" fillId="3" borderId="15" xfId="0" applyFont="1" applyFill="1" applyBorder="1" applyAlignment="1">
      <alignment horizontal="center"/>
    </xf>
    <xf numFmtId="0" fontId="25" fillId="3" borderId="5" xfId="0" applyFont="1" applyFill="1" applyBorder="1" applyAlignment="1">
      <alignment horizontal="center"/>
    </xf>
    <xf numFmtId="167" fontId="9" fillId="0" borderId="1" xfId="22" applyNumberFormat="1" applyFont="1" applyBorder="1" applyAlignment="1">
      <alignment/>
    </xf>
    <xf numFmtId="165" fontId="13" fillId="0" borderId="16" xfId="0" applyNumberFormat="1" applyFont="1" applyBorder="1" applyAlignment="1">
      <alignment/>
    </xf>
    <xf numFmtId="165" fontId="13" fillId="0" borderId="17" xfId="0" applyNumberFormat="1" applyFont="1" applyBorder="1" applyAlignment="1">
      <alignment/>
    </xf>
    <xf numFmtId="165" fontId="13" fillId="0" borderId="18" xfId="0" applyNumberFormat="1" applyFont="1" applyBorder="1" applyAlignment="1">
      <alignment/>
    </xf>
    <xf numFmtId="165" fontId="13" fillId="0" borderId="19" xfId="15" applyNumberFormat="1" applyFont="1" applyBorder="1" applyAlignment="1">
      <alignment/>
    </xf>
    <xf numFmtId="165" fontId="13" fillId="0" borderId="9" xfId="15" applyNumberFormat="1" applyFont="1" applyBorder="1" applyAlignment="1">
      <alignment/>
    </xf>
    <xf numFmtId="165" fontId="13" fillId="0" borderId="11" xfId="15" applyNumberFormat="1" applyFont="1" applyBorder="1" applyAlignment="1">
      <alignment/>
    </xf>
    <xf numFmtId="165" fontId="13" fillId="0" borderId="3" xfId="15" applyNumberFormat="1" applyFont="1" applyBorder="1" applyAlignment="1">
      <alignment/>
    </xf>
    <xf numFmtId="165" fontId="13" fillId="0" borderId="13" xfId="15" applyNumberFormat="1" applyFont="1" applyBorder="1" applyAlignment="1">
      <alignment/>
    </xf>
    <xf numFmtId="165" fontId="13" fillId="0" borderId="10" xfId="15" applyNumberFormat="1" applyFont="1" applyBorder="1" applyAlignment="1">
      <alignment/>
    </xf>
    <xf numFmtId="165" fontId="13" fillId="0" borderId="1" xfId="15" applyNumberFormat="1" applyFont="1" applyBorder="1" applyAlignment="1">
      <alignment/>
    </xf>
    <xf numFmtId="165" fontId="13" fillId="0" borderId="5" xfId="15" applyNumberFormat="1" applyFont="1" applyBorder="1" applyAlignment="1">
      <alignment/>
    </xf>
    <xf numFmtId="172" fontId="13" fillId="0" borderId="0" xfId="0" applyNumberFormat="1" applyFont="1" applyAlignment="1">
      <alignment/>
    </xf>
    <xf numFmtId="172" fontId="13" fillId="0" borderId="13" xfId="0" applyNumberFormat="1" applyFont="1" applyBorder="1" applyAlignment="1">
      <alignment/>
    </xf>
    <xf numFmtId="165" fontId="13" fillId="0" borderId="8" xfId="15" applyNumberFormat="1" applyFont="1" applyBorder="1" applyAlignment="1">
      <alignment horizontal="center"/>
    </xf>
    <xf numFmtId="165" fontId="13" fillId="0" borderId="6" xfId="15" applyNumberFormat="1" applyFont="1" applyBorder="1" applyAlignment="1">
      <alignment horizontal="center"/>
    </xf>
    <xf numFmtId="0" fontId="14" fillId="0" borderId="0" xfId="0" applyFont="1" applyFill="1" applyAlignment="1">
      <alignment/>
    </xf>
    <xf numFmtId="0" fontId="13" fillId="0" borderId="0" xfId="0" applyFont="1" applyFill="1" applyAlignment="1">
      <alignment/>
    </xf>
    <xf numFmtId="165" fontId="13" fillId="0" borderId="7" xfId="15" applyNumberFormat="1" applyFont="1" applyBorder="1" applyAlignment="1">
      <alignment horizontal="center"/>
    </xf>
    <xf numFmtId="165" fontId="13" fillId="0" borderId="1" xfId="0" applyNumberFormat="1" applyFont="1" applyBorder="1" applyAlignment="1">
      <alignment/>
    </xf>
    <xf numFmtId="0" fontId="13" fillId="0" borderId="20" xfId="0" applyFont="1" applyBorder="1" applyAlignment="1">
      <alignment horizontal="center"/>
    </xf>
    <xf numFmtId="9" fontId="13" fillId="0" borderId="10" xfId="22" applyFont="1" applyBorder="1" applyAlignment="1">
      <alignment horizontal="center"/>
    </xf>
    <xf numFmtId="9" fontId="13" fillId="0" borderId="1" xfId="22" applyFont="1" applyBorder="1" applyAlignment="1">
      <alignment horizontal="center"/>
    </xf>
    <xf numFmtId="9" fontId="13" fillId="0" borderId="5" xfId="22" applyFont="1" applyBorder="1" applyAlignment="1">
      <alignment horizontal="center"/>
    </xf>
    <xf numFmtId="165" fontId="13" fillId="0" borderId="0" xfId="0" applyNumberFormat="1" applyFont="1" applyFill="1" applyBorder="1" applyAlignment="1">
      <alignment/>
    </xf>
    <xf numFmtId="9" fontId="13" fillId="0" borderId="1" xfId="22" applyFont="1" applyBorder="1" applyAlignment="1">
      <alignment/>
    </xf>
    <xf numFmtId="165" fontId="1" fillId="2" borderId="9" xfId="0" applyNumberFormat="1" applyFont="1" applyFill="1" applyBorder="1" applyAlignment="1">
      <alignment/>
    </xf>
    <xf numFmtId="165" fontId="1" fillId="2" borderId="11" xfId="0" applyNumberFormat="1" applyFont="1" applyFill="1" applyBorder="1" applyAlignment="1">
      <alignment/>
    </xf>
    <xf numFmtId="165" fontId="1" fillId="2" borderId="13" xfId="0" applyNumberFormat="1" applyFont="1" applyFill="1" applyBorder="1" applyAlignment="1">
      <alignment/>
    </xf>
    <xf numFmtId="165" fontId="1" fillId="2" borderId="1" xfId="0" applyNumberFormat="1" applyFont="1" applyFill="1" applyBorder="1" applyAlignment="1">
      <alignment/>
    </xf>
    <xf numFmtId="165" fontId="1" fillId="2" borderId="5" xfId="0" applyNumberFormat="1" applyFont="1" applyFill="1" applyBorder="1" applyAlignment="1">
      <alignment/>
    </xf>
    <xf numFmtId="165" fontId="13" fillId="0" borderId="5" xfId="0" applyNumberFormat="1" applyFont="1" applyBorder="1" applyAlignment="1">
      <alignment/>
    </xf>
    <xf numFmtId="165" fontId="13" fillId="0" borderId="21" xfId="0" applyNumberFormat="1" applyFont="1" applyBorder="1" applyAlignment="1">
      <alignment/>
    </xf>
    <xf numFmtId="165" fontId="13" fillId="0" borderId="2" xfId="0" applyNumberFormat="1" applyFont="1" applyBorder="1" applyAlignment="1">
      <alignment/>
    </xf>
    <xf numFmtId="165" fontId="13" fillId="0" borderId="22" xfId="0" applyNumberFormat="1" applyFont="1" applyBorder="1" applyAlignment="1">
      <alignment/>
    </xf>
    <xf numFmtId="165" fontId="13" fillId="0" borderId="2" xfId="15" applyNumberFormat="1" applyFont="1" applyBorder="1" applyAlignment="1">
      <alignment/>
    </xf>
    <xf numFmtId="0" fontId="53" fillId="0" borderId="0" xfId="0" applyFont="1" applyFill="1" applyAlignment="1">
      <alignment horizontal="right"/>
    </xf>
    <xf numFmtId="10" fontId="13" fillId="0" borderId="4" xfId="22" applyNumberFormat="1" applyFont="1" applyBorder="1" applyAlignment="1">
      <alignment/>
    </xf>
    <xf numFmtId="167" fontId="13" fillId="0" borderId="14" xfId="22" applyNumberFormat="1" applyFont="1" applyBorder="1" applyAlignment="1">
      <alignment/>
    </xf>
    <xf numFmtId="172" fontId="13" fillId="0" borderId="15" xfId="17" applyNumberFormat="1" applyFont="1" applyBorder="1" applyAlignment="1">
      <alignment/>
    </xf>
    <xf numFmtId="167" fontId="13" fillId="0" borderId="0" xfId="22" applyNumberFormat="1" applyFont="1" applyFill="1" applyBorder="1" applyAlignment="1" applyProtection="1">
      <alignment/>
      <protection/>
    </xf>
    <xf numFmtId="165" fontId="13" fillId="0" borderId="19" xfId="15" applyNumberFormat="1" applyFont="1" applyFill="1" applyBorder="1" applyAlignment="1" applyProtection="1">
      <alignment/>
      <protection/>
    </xf>
    <xf numFmtId="167" fontId="13" fillId="0" borderId="3" xfId="22" applyNumberFormat="1" applyFont="1" applyFill="1" applyBorder="1" applyAlignment="1" applyProtection="1">
      <alignment/>
      <protection/>
    </xf>
    <xf numFmtId="167" fontId="13" fillId="0" borderId="13" xfId="22" applyNumberFormat="1" applyFont="1" applyFill="1" applyBorder="1" applyAlignment="1" applyProtection="1">
      <alignment/>
      <protection/>
    </xf>
    <xf numFmtId="0" fontId="13" fillId="0" borderId="0" xfId="0" applyFont="1" applyFill="1" applyBorder="1" applyAlignment="1">
      <alignment horizontal="right" wrapText="1"/>
    </xf>
    <xf numFmtId="0" fontId="0" fillId="0" borderId="0" xfId="0" applyFont="1" applyBorder="1" applyAlignment="1">
      <alignment wrapText="1"/>
    </xf>
    <xf numFmtId="0" fontId="14" fillId="0" borderId="0" xfId="0" applyFont="1" applyAlignment="1">
      <alignment/>
    </xf>
    <xf numFmtId="0" fontId="14" fillId="0" borderId="2" xfId="0" applyFont="1" applyBorder="1" applyAlignment="1">
      <alignment/>
    </xf>
    <xf numFmtId="0" fontId="13" fillId="0" borderId="0" xfId="0" applyFont="1" applyAlignment="1">
      <alignment horizontal="right"/>
    </xf>
    <xf numFmtId="0" fontId="0" fillId="0" borderId="0" xfId="0" applyFont="1" applyAlignment="1">
      <alignment horizontal="right"/>
    </xf>
    <xf numFmtId="0" fontId="13" fillId="0" borderId="0" xfId="0" applyFont="1" applyFill="1" applyBorder="1" applyAlignment="1">
      <alignment horizontal="right"/>
    </xf>
    <xf numFmtId="0" fontId="0" fillId="0" borderId="0" xfId="0" applyFont="1" applyBorder="1" applyAlignment="1">
      <alignment/>
    </xf>
    <xf numFmtId="167" fontId="13" fillId="0" borderId="1" xfId="22" applyNumberFormat="1" applyFont="1" applyBorder="1" applyAlignment="1">
      <alignment/>
    </xf>
    <xf numFmtId="0" fontId="13" fillId="0" borderId="1" xfId="0" applyFont="1" applyFill="1" applyBorder="1" applyAlignment="1">
      <alignment horizontal="right" wrapText="1"/>
    </xf>
    <xf numFmtId="0" fontId="0" fillId="0" borderId="1" xfId="0" applyFont="1" applyBorder="1" applyAlignment="1">
      <alignment wrapText="1"/>
    </xf>
    <xf numFmtId="0" fontId="26" fillId="3" borderId="10" xfId="0" applyFont="1" applyFill="1" applyBorder="1" applyAlignment="1">
      <alignment horizontal="center"/>
    </xf>
    <xf numFmtId="0" fontId="26" fillId="3" borderId="1" xfId="0" applyFont="1" applyFill="1" applyBorder="1" applyAlignment="1">
      <alignment horizontal="center"/>
    </xf>
    <xf numFmtId="0" fontId="26" fillId="3" borderId="6" xfId="0" applyFont="1" applyFill="1" applyBorder="1" applyAlignment="1">
      <alignment horizontal="center"/>
    </xf>
    <xf numFmtId="164" fontId="14" fillId="2" borderId="1" xfId="0" applyNumberFormat="1" applyFont="1" applyFill="1" applyBorder="1" applyAlignment="1" applyProtection="1">
      <alignment horizontal="center"/>
      <protection/>
    </xf>
    <xf numFmtId="0" fontId="26" fillId="3" borderId="7" xfId="0" applyNumberFormat="1" applyFont="1" applyFill="1" applyBorder="1" applyAlignment="1" applyProtection="1">
      <alignment horizontal="center"/>
      <protection/>
    </xf>
    <xf numFmtId="9" fontId="50" fillId="4" borderId="23" xfId="0" applyNumberFormat="1" applyFont="1" applyFill="1" applyBorder="1" applyAlignment="1">
      <alignment horizontal="right"/>
    </xf>
    <xf numFmtId="9" fontId="50" fillId="4" borderId="24" xfId="0" applyNumberFormat="1" applyFont="1" applyFill="1" applyBorder="1" applyAlignment="1">
      <alignment horizontal="right"/>
    </xf>
    <xf numFmtId="9" fontId="50" fillId="4" borderId="12" xfId="22" applyFont="1" applyFill="1" applyBorder="1" applyAlignment="1">
      <alignment horizontal="right"/>
    </xf>
    <xf numFmtId="0" fontId="49" fillId="0" borderId="1" xfId="0" applyFont="1" applyBorder="1" applyAlignment="1">
      <alignment/>
    </xf>
    <xf numFmtId="165" fontId="50" fillId="4" borderId="23" xfId="0" applyNumberFormat="1" applyFont="1" applyFill="1" applyBorder="1" applyAlignment="1">
      <alignment horizontal="right"/>
    </xf>
    <xf numFmtId="165" fontId="50" fillId="4" borderId="24" xfId="0" applyNumberFormat="1" applyFont="1" applyFill="1" applyBorder="1" applyAlignment="1">
      <alignment horizontal="right"/>
    </xf>
    <xf numFmtId="165" fontId="50" fillId="4" borderId="12" xfId="0" applyNumberFormat="1" applyFont="1" applyFill="1" applyBorder="1" applyAlignment="1">
      <alignment horizontal="right"/>
    </xf>
    <xf numFmtId="165" fontId="21" fillId="2" borderId="1" xfId="15" applyNumberFormat="1" applyFont="1" applyFill="1" applyBorder="1" applyAlignment="1" applyProtection="1">
      <alignment/>
      <protection/>
    </xf>
    <xf numFmtId="165" fontId="13" fillId="0" borderId="19" xfId="15" applyNumberFormat="1" applyFont="1" applyBorder="1" applyAlignment="1">
      <alignment horizontal="center"/>
    </xf>
    <xf numFmtId="165" fontId="13" fillId="0" borderId="9" xfId="15" applyNumberFormat="1" applyFont="1" applyBorder="1" applyAlignment="1">
      <alignment horizontal="center"/>
    </xf>
    <xf numFmtId="165" fontId="13" fillId="0" borderId="11" xfId="15" applyNumberFormat="1" applyFont="1" applyBorder="1" applyAlignment="1">
      <alignment horizontal="center"/>
    </xf>
    <xf numFmtId="0" fontId="1" fillId="0" borderId="0" xfId="0" applyFont="1" applyAlignment="1">
      <alignment horizontal="right"/>
    </xf>
    <xf numFmtId="0" fontId="49" fillId="0" borderId="0" xfId="0" applyFont="1" applyBorder="1" applyAlignment="1">
      <alignment horizontal="right"/>
    </xf>
    <xf numFmtId="172" fontId="50" fillId="4" borderId="24" xfId="17" applyNumberFormat="1" applyFont="1" applyFill="1" applyBorder="1" applyAlignment="1">
      <alignment/>
    </xf>
    <xf numFmtId="167" fontId="50" fillId="4" borderId="23" xfId="22" applyNumberFormat="1" applyFont="1" applyFill="1" applyBorder="1" applyAlignment="1">
      <alignment horizontal="right"/>
    </xf>
    <xf numFmtId="172" fontId="50" fillId="4" borderId="23" xfId="17" applyNumberFormat="1" applyFont="1" applyFill="1" applyBorder="1" applyAlignment="1">
      <alignment/>
    </xf>
    <xf numFmtId="0" fontId="18" fillId="0" borderId="0" xfId="0" applyFont="1" applyAlignment="1">
      <alignment horizontal="center"/>
    </xf>
    <xf numFmtId="0" fontId="1" fillId="0" borderId="0" xfId="0" applyFont="1" applyAlignment="1">
      <alignment/>
    </xf>
    <xf numFmtId="178" fontId="50" fillId="4" borderId="24" xfId="22" applyNumberFormat="1" applyFont="1" applyFill="1" applyBorder="1" applyAlignment="1">
      <alignment horizontal="right"/>
    </xf>
    <xf numFmtId="167" fontId="50" fillId="4" borderId="24" xfId="22" applyNumberFormat="1" applyFont="1" applyFill="1" applyBorder="1" applyAlignment="1">
      <alignment/>
    </xf>
    <xf numFmtId="165" fontId="50" fillId="4" borderId="25" xfId="0" applyNumberFormat="1" applyFont="1" applyFill="1" applyBorder="1" applyAlignment="1">
      <alignment horizontal="right"/>
    </xf>
    <xf numFmtId="0" fontId="74" fillId="0" borderId="0" xfId="0" applyFont="1" applyAlignment="1" applyProtection="1">
      <alignment/>
      <protection hidden="1"/>
    </xf>
    <xf numFmtId="0" fontId="73" fillId="0" borderId="0" xfId="0" applyFont="1" applyBorder="1" applyAlignment="1" applyProtection="1">
      <alignment/>
      <protection hidden="1"/>
    </xf>
    <xf numFmtId="37" fontId="13" fillId="0" borderId="1" xfId="0" applyNumberFormat="1" applyFont="1" applyBorder="1" applyAlignment="1" applyProtection="1">
      <alignment horizontal="left"/>
      <protection/>
    </xf>
    <xf numFmtId="0" fontId="47" fillId="0" borderId="0" xfId="0" applyFont="1" applyAlignment="1">
      <alignment/>
    </xf>
    <xf numFmtId="167" fontId="13" fillId="0" borderId="5" xfId="22" applyNumberFormat="1" applyFont="1" applyBorder="1" applyAlignment="1">
      <alignment/>
    </xf>
    <xf numFmtId="0" fontId="0" fillId="0" borderId="1" xfId="0" applyBorder="1" applyAlignment="1">
      <alignment/>
    </xf>
    <xf numFmtId="0" fontId="9" fillId="0" borderId="1" xfId="0" applyFont="1" applyBorder="1" applyAlignment="1">
      <alignment horizontal="right"/>
    </xf>
    <xf numFmtId="165" fontId="9" fillId="0" borderId="0" xfId="0" applyNumberFormat="1" applyFont="1" applyAlignment="1">
      <alignment horizontal="right"/>
    </xf>
    <xf numFmtId="0" fontId="9" fillId="0" borderId="0" xfId="0" applyFont="1" applyAlignment="1">
      <alignment horizontal="right"/>
    </xf>
    <xf numFmtId="165" fontId="9" fillId="0" borderId="1" xfId="0" applyNumberFormat="1" applyFont="1" applyBorder="1" applyAlignment="1">
      <alignment horizontal="right"/>
    </xf>
    <xf numFmtId="0" fontId="10" fillId="0" borderId="1" xfId="0" applyFont="1" applyBorder="1" applyAlignment="1">
      <alignment horizontal="right"/>
    </xf>
    <xf numFmtId="0" fontId="65" fillId="0" borderId="0" xfId="21" applyFont="1">
      <alignment/>
      <protection/>
    </xf>
    <xf numFmtId="172" fontId="13" fillId="0" borderId="11" xfId="0" applyNumberFormat="1" applyFont="1" applyBorder="1" applyAlignment="1">
      <alignment/>
    </xf>
    <xf numFmtId="9" fontId="13" fillId="0" borderId="13" xfId="22" applyFont="1" applyBorder="1" applyAlignment="1">
      <alignment/>
    </xf>
    <xf numFmtId="0" fontId="13" fillId="0" borderId="5" xfId="0" applyFont="1" applyBorder="1" applyAlignment="1">
      <alignment/>
    </xf>
    <xf numFmtId="0" fontId="0" fillId="0" borderId="0" xfId="0" applyFont="1" applyAlignment="1">
      <alignment horizontal="center"/>
    </xf>
    <xf numFmtId="0" fontId="18" fillId="0" borderId="0" xfId="0" applyFont="1" applyAlignment="1">
      <alignment horizontal="center"/>
    </xf>
    <xf numFmtId="0" fontId="1" fillId="0" borderId="0" xfId="0" applyFont="1" applyAlignment="1">
      <alignment/>
    </xf>
    <xf numFmtId="0" fontId="24" fillId="0" borderId="0" xfId="0" applyFont="1" applyAlignment="1">
      <alignment horizontal="center"/>
    </xf>
    <xf numFmtId="0" fontId="53" fillId="0" borderId="0" xfId="0" applyFont="1" applyAlignment="1">
      <alignment horizontal="center"/>
    </xf>
    <xf numFmtId="172" fontId="39" fillId="2" borderId="21" xfId="17" applyNumberFormat="1" applyFont="1" applyFill="1" applyBorder="1" applyAlignment="1">
      <alignment horizontal="right"/>
    </xf>
    <xf numFmtId="172" fontId="39" fillId="2" borderId="22" xfId="17" applyNumberFormat="1" applyFont="1" applyFill="1" applyBorder="1" applyAlignment="1">
      <alignment horizontal="right"/>
    </xf>
    <xf numFmtId="172" fontId="39" fillId="2" borderId="21" xfId="17" applyNumberFormat="1" applyFont="1" applyFill="1" applyBorder="1" applyAlignment="1">
      <alignment/>
    </xf>
    <xf numFmtId="172" fontId="33" fillId="2" borderId="22" xfId="17" applyNumberFormat="1" applyFont="1" applyFill="1" applyBorder="1" applyAlignment="1">
      <alignment/>
    </xf>
    <xf numFmtId="0" fontId="39" fillId="2" borderId="26" xfId="0" applyFont="1" applyFill="1" applyBorder="1" applyAlignment="1">
      <alignment horizontal="right"/>
    </xf>
    <xf numFmtId="0" fontId="33" fillId="2" borderId="27" xfId="0" applyFont="1" applyFill="1" applyBorder="1" applyAlignment="1">
      <alignment horizontal="right"/>
    </xf>
    <xf numFmtId="0" fontId="39" fillId="2" borderId="27" xfId="0" applyFont="1" applyFill="1" applyBorder="1" applyAlignment="1">
      <alignment horizontal="right"/>
    </xf>
    <xf numFmtId="37" fontId="49" fillId="0" borderId="0" xfId="0" applyNumberFormat="1" applyFont="1" applyBorder="1" applyAlignment="1" applyProtection="1">
      <alignment horizontal="left" wrapText="1"/>
      <protection/>
    </xf>
    <xf numFmtId="0" fontId="49" fillId="0" borderId="0" xfId="0" applyFont="1" applyAlignment="1">
      <alignment wrapText="1"/>
    </xf>
    <xf numFmtId="0" fontId="0" fillId="0" borderId="0" xfId="0" applyAlignment="1">
      <alignment wrapText="1"/>
    </xf>
    <xf numFmtId="0" fontId="39" fillId="2" borderId="0" xfId="0" applyFont="1" applyFill="1" applyAlignment="1">
      <alignment wrapText="1"/>
    </xf>
    <xf numFmtId="0" fontId="13" fillId="0" borderId="0" xfId="0" applyFont="1" applyFill="1" applyBorder="1" applyAlignment="1">
      <alignment horizontal="right" wrapText="1"/>
    </xf>
    <xf numFmtId="0" fontId="0" fillId="0" borderId="0" xfId="0" applyFont="1" applyBorder="1" applyAlignment="1">
      <alignment wrapText="1"/>
    </xf>
    <xf numFmtId="0" fontId="29" fillId="0" borderId="0" xfId="0" applyFont="1" applyAlignment="1">
      <alignment wrapText="1"/>
    </xf>
    <xf numFmtId="0" fontId="0" fillId="0" borderId="0" xfId="0" applyAlignment="1">
      <alignment/>
    </xf>
    <xf numFmtId="0" fontId="29" fillId="0" borderId="0" xfId="0" applyFont="1" applyAlignment="1">
      <alignment horizontal="left" wrapText="1"/>
    </xf>
    <xf numFmtId="0" fontId="0" fillId="0" borderId="0" xfId="0"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Bioval6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Analysis!$C$191:$S$191</c:f>
              <c:numCache>
                <c:ptCount val="16"/>
                <c:pt idx="0">
                  <c:v>1</c:v>
                </c:pt>
                <c:pt idx="1">
                  <c:v>2</c:v>
                </c:pt>
                <c:pt idx="2">
                  <c:v>3</c:v>
                </c:pt>
                <c:pt idx="3">
                  <c:v>4</c:v>
                </c:pt>
                <c:pt idx="4">
                  <c:v>5</c:v>
                </c:pt>
                <c:pt idx="5">
                  <c:v>6</c:v>
                </c:pt>
                <c:pt idx="6">
                  <c:v>7</c:v>
                </c:pt>
                <c:pt idx="7">
                  <c:v>8</c:v>
                </c:pt>
                <c:pt idx="8">
                  <c:v>9</c:v>
                </c:pt>
                <c:pt idx="9">
                  <c:v>10</c:v>
                </c:pt>
              </c:numCache>
            </c:numRef>
          </c:cat>
          <c:val>
            <c:numRef>
              <c:f>Analysis!$C$235:$R$235</c:f>
              <c:numCache>
                <c:ptCount val="16"/>
                <c:pt idx="0">
                  <c:v>0</c:v>
                </c:pt>
                <c:pt idx="1">
                  <c:v>0</c:v>
                </c:pt>
                <c:pt idx="2">
                  <c:v>0</c:v>
                </c:pt>
                <c:pt idx="3">
                  <c:v>0</c:v>
                </c:pt>
                <c:pt idx="4">
                  <c:v>0</c:v>
                </c:pt>
                <c:pt idx="5">
                  <c:v>0</c:v>
                </c:pt>
                <c:pt idx="6">
                  <c:v>0</c:v>
                </c:pt>
                <c:pt idx="7">
                  <c:v>0</c:v>
                </c:pt>
                <c:pt idx="8">
                  <c:v>0</c:v>
                </c:pt>
                <c:pt idx="9">
                  <c:v>0</c:v>
                </c:pt>
                <c:pt idx="10">
                  <c:v>17910447.761194028</c:v>
                </c:pt>
              </c:numCache>
            </c:numRef>
          </c:val>
          <c:smooth val="1"/>
        </c:ser>
        <c:axId val="53835992"/>
        <c:axId val="14761881"/>
      </c:lineChart>
      <c:catAx>
        <c:axId val="53835992"/>
        <c:scaling>
          <c:orientation val="minMax"/>
        </c:scaling>
        <c:axPos val="b"/>
        <c:delete val="0"/>
        <c:numFmt formatCode="General" sourceLinked="1"/>
        <c:majorTickMark val="out"/>
        <c:minorTickMark val="none"/>
        <c:tickLblPos val="nextTo"/>
        <c:txPr>
          <a:bodyPr/>
          <a:lstStyle/>
          <a:p>
            <a:pPr>
              <a:defRPr lang="en-US" cap="none" sz="125" b="1" i="0" u="none" baseline="0">
                <a:latin typeface="Arial"/>
                <a:ea typeface="Arial"/>
                <a:cs typeface="Arial"/>
              </a:defRPr>
            </a:pPr>
          </a:p>
        </c:txPr>
        <c:crossAx val="14761881"/>
        <c:crosses val="autoZero"/>
        <c:auto val="1"/>
        <c:lblOffset val="100"/>
        <c:noMultiLvlLbl val="0"/>
      </c:catAx>
      <c:valAx>
        <c:axId val="14761881"/>
        <c:scaling>
          <c:orientation val="minMax"/>
        </c:scaling>
        <c:axPos val="l"/>
        <c:majorGridlines/>
        <c:delete val="0"/>
        <c:numFmt formatCode="General" sourceLinked="1"/>
        <c:majorTickMark val="out"/>
        <c:minorTickMark val="none"/>
        <c:tickLblPos val="nextTo"/>
        <c:txPr>
          <a:bodyPr/>
          <a:lstStyle/>
          <a:p>
            <a:pPr>
              <a:defRPr lang="en-US" cap="none" sz="125" b="1" i="0" u="none" baseline="0">
                <a:latin typeface="Arial"/>
                <a:ea typeface="Arial"/>
                <a:cs typeface="Arial"/>
              </a:defRPr>
            </a:pPr>
          </a:p>
        </c:txPr>
        <c:crossAx val="53835992"/>
        <c:crossesAt val="1"/>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00" b="1" i="0" u="none" baseline="0">
                <a:latin typeface="Arial"/>
                <a:ea typeface="Arial"/>
                <a:cs typeface="Arial"/>
              </a:rPr>
              <a:t>Risk-Adjusted Net Present Value (rNPV)</a:t>
            </a:r>
          </a:p>
        </c:rich>
      </c:tx>
      <c:layout>
        <c:manualLayout>
          <c:xMode val="factor"/>
          <c:yMode val="factor"/>
          <c:x val="-0.00175"/>
          <c:y val="-0.02125"/>
        </c:manualLayout>
      </c:layout>
      <c:spPr>
        <a:noFill/>
        <a:ln>
          <a:noFill/>
        </a:ln>
      </c:spPr>
    </c:title>
    <c:plotArea>
      <c:layout>
        <c:manualLayout>
          <c:xMode val="edge"/>
          <c:yMode val="edge"/>
          <c:x val="0.0315"/>
          <c:y val="0.09625"/>
          <c:w val="0.965"/>
          <c:h val="0.856"/>
        </c:manualLayout>
      </c:layout>
      <c:lineChart>
        <c:grouping val="standar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(Analysis!$C$217:$L$217,Analysis!$C$251:$L$251)</c:f>
              <c:numCache>
                <c:ptCount val="20"/>
                <c:pt idx="0">
                  <c:v>81327324.37909174</c:v>
                </c:pt>
                <c:pt idx="1">
                  <c:v>196409578.5098201</c:v>
                </c:pt>
                <c:pt idx="2">
                  <c:v>355535241.31767607</c:v>
                </c:pt>
                <c:pt idx="3">
                  <c:v>428694289.5812113</c:v>
                </c:pt>
                <c:pt idx="4">
                  <c:v>1153483496.0776463</c:v>
                </c:pt>
                <c:pt idx="5">
                  <c:v>1389892195.2931757</c:v>
                </c:pt>
                <c:pt idx="6">
                  <c:v>1673582634.3518114</c:v>
                </c:pt>
                <c:pt idx="7">
                  <c:v>2433761254.6118793</c:v>
                </c:pt>
                <c:pt idx="8">
                  <c:v>2920915505.534256</c:v>
                </c:pt>
                <c:pt idx="9">
                  <c:v>4327778526.717418</c:v>
                </c:pt>
                <c:pt idx="10">
                  <c:v>4702055746.069534</c:v>
                </c:pt>
                <c:pt idx="11">
                  <c:v>4657257019.476358</c:v>
                </c:pt>
                <c:pt idx="12">
                  <c:v>4106903509.6639824</c:v>
                </c:pt>
                <c:pt idx="13">
                  <c:v>3442478424.622122</c:v>
                </c:pt>
                <c:pt idx="14">
                  <c:v>2641156646.9470596</c:v>
                </c:pt>
                <c:pt idx="15">
                  <c:v>1675548006.587965</c:v>
                </c:pt>
                <c:pt idx="16">
                  <c:v>887252604.6554384</c:v>
                </c:pt>
                <c:pt idx="17">
                  <c:v>313744327.74726236</c:v>
                </c:pt>
                <c:pt idx="18">
                  <c:v>0</c:v>
                </c:pt>
                <c:pt idx="19">
                  <c:v>0</c:v>
                </c:pt>
              </c:numCache>
            </c:numRef>
          </c:val>
          <c:smooth val="1"/>
        </c:ser>
        <c:marker val="1"/>
        <c:axId val="65748066"/>
        <c:axId val="54861683"/>
      </c:lineChart>
      <c:catAx>
        <c:axId val="65748066"/>
        <c:scaling>
          <c:orientation val="minMax"/>
        </c:scaling>
        <c:axPos val="b"/>
        <c:title>
          <c:tx>
            <c:rich>
              <a:bodyPr vert="horz" rot="0" anchor="ctr"/>
              <a:lstStyle/>
              <a:p>
                <a:pPr algn="ctr">
                  <a:defRPr/>
                </a:pPr>
                <a:r>
                  <a:rPr lang="en-US" cap="none" sz="2525" b="1" i="0" u="none" baseline="0">
                    <a:latin typeface="Arial"/>
                    <a:ea typeface="Arial"/>
                    <a:cs typeface="Arial"/>
                  </a:rPr>
                  <a:t>Time (years)</a:t>
                </a:r>
              </a:p>
            </c:rich>
          </c:tx>
          <c:layout/>
          <c:overlay val="0"/>
          <c:spPr>
            <a:noFill/>
            <a:ln>
              <a:noFill/>
            </a:ln>
          </c:spPr>
        </c:title>
        <c:majorGridlines/>
        <c:delete val="0"/>
        <c:numFmt formatCode="General" sourceLinked="1"/>
        <c:majorTickMark val="out"/>
        <c:minorTickMark val="none"/>
        <c:tickLblPos val="low"/>
        <c:txPr>
          <a:bodyPr/>
          <a:lstStyle/>
          <a:p>
            <a:pPr>
              <a:defRPr lang="en-US" cap="none" sz="1950" b="1" i="0" u="none" baseline="0">
                <a:latin typeface="Arial"/>
                <a:ea typeface="Arial"/>
                <a:cs typeface="Arial"/>
              </a:defRPr>
            </a:pPr>
          </a:p>
        </c:txPr>
        <c:crossAx val="54861683"/>
        <c:crosses val="autoZero"/>
        <c:auto val="1"/>
        <c:lblOffset val="100"/>
        <c:noMultiLvlLbl val="0"/>
      </c:catAx>
      <c:valAx>
        <c:axId val="54861683"/>
        <c:scaling>
          <c:orientation val="minMax"/>
        </c:scaling>
        <c:axPos val="l"/>
        <c:title>
          <c:tx>
            <c:rich>
              <a:bodyPr vert="horz" rot="-5400000" anchor="ctr"/>
              <a:lstStyle/>
              <a:p>
                <a:pPr algn="ctr">
                  <a:defRPr/>
                </a:pPr>
                <a:r>
                  <a:rPr lang="en-US" cap="none" sz="2525" b="1" i="0" u="none" baseline="0">
                    <a:latin typeface="Arial"/>
                    <a:ea typeface="Arial"/>
                    <a:cs typeface="Arial"/>
                  </a:rPr>
                  <a:t>Value ($)</a:t>
                </a:r>
              </a:p>
            </c:rich>
          </c:tx>
          <c:layout>
            <c:manualLayout>
              <c:xMode val="factor"/>
              <c:yMode val="factor"/>
              <c:x val="-0.008"/>
              <c:y val="0.002"/>
            </c:manualLayout>
          </c:layout>
          <c:overlay val="0"/>
          <c:spPr>
            <a:noFill/>
            <a:ln>
              <a:noFill/>
            </a:ln>
          </c:spPr>
        </c:title>
        <c:majorGridlines/>
        <c:delete val="0"/>
        <c:numFmt formatCode="General" sourceLinked="1"/>
        <c:majorTickMark val="out"/>
        <c:minorTickMark val="none"/>
        <c:tickLblPos val="nextTo"/>
        <c:txPr>
          <a:bodyPr/>
          <a:lstStyle/>
          <a:p>
            <a:pPr>
              <a:defRPr lang="en-US" cap="none" sz="1575" b="1" i="0" u="none" baseline="0">
                <a:latin typeface="Arial"/>
                <a:ea typeface="Arial"/>
                <a:cs typeface="Arial"/>
              </a:defRPr>
            </a:pPr>
          </a:p>
        </c:txPr>
        <c:crossAx val="65748066"/>
        <c:crossesAt val="1"/>
        <c:crossBetween val="midCat"/>
        <c:dispUnits/>
      </c:valAx>
      <c:spPr>
        <a:noFill/>
        <a:ln w="12700">
          <a:solidFill/>
        </a:ln>
      </c:spPr>
    </c:plotArea>
    <c:plotVisOnly val="1"/>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75" b="1" i="0" u="none" baseline="0">
                <a:latin typeface="Arial"/>
                <a:ea typeface="Arial"/>
                <a:cs typeface="Arial"/>
              </a:rPr>
              <a:t>SUMMARY &amp; rNPV CHART</a:t>
            </a:r>
          </a:p>
        </c:rich>
      </c:tx>
      <c:layout>
        <c:manualLayout>
          <c:xMode val="factor"/>
          <c:yMode val="factor"/>
          <c:x val="-0.12875"/>
          <c:y val="-0.02225"/>
        </c:manualLayout>
      </c:layout>
      <c:spPr>
        <a:noFill/>
        <a:ln>
          <a:noFill/>
        </a:ln>
      </c:spPr>
    </c:title>
    <c:plotArea>
      <c:layout>
        <c:manualLayout>
          <c:xMode val="edge"/>
          <c:yMode val="edge"/>
          <c:x val="0.0475"/>
          <c:y val="0.3265"/>
          <c:w val="0.89525"/>
          <c:h val="0.5372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Description!$E$61:$X$61</c:f>
              <c:numCache>
                <c:ptCount val="20"/>
                <c:pt idx="0">
                  <c:v>1</c:v>
                </c:pt>
                <c:pt idx="1">
                  <c:v>3</c:v>
                </c:pt>
                <c:pt idx="2">
                  <c:v>3</c:v>
                </c:pt>
                <c:pt idx="3">
                  <c:v>5</c:v>
                </c:pt>
                <c:pt idx="4">
                  <c:v>5</c:v>
                </c:pt>
                <c:pt idx="5">
                  <c:v>7</c:v>
                </c:pt>
                <c:pt idx="6">
                  <c:v>7</c:v>
                </c:pt>
                <c:pt idx="7">
                  <c:v>9</c:v>
                </c:pt>
                <c:pt idx="8">
                  <c:v>10.3</c:v>
                </c:pt>
                <c:pt idx="9">
                  <c:v>10.5</c:v>
                </c:pt>
                <c:pt idx="10">
                  <c:v>10.4</c:v>
                </c:pt>
                <c:pt idx="11">
                  <c:v>9</c:v>
                </c:pt>
                <c:pt idx="12">
                  <c:v>8</c:v>
                </c:pt>
                <c:pt idx="13">
                  <c:v>7</c:v>
                </c:pt>
                <c:pt idx="14">
                  <c:v>6</c:v>
                </c:pt>
                <c:pt idx="15">
                  <c:v>5</c:v>
                </c:pt>
                <c:pt idx="16">
                  <c:v>4</c:v>
                </c:pt>
                <c:pt idx="17">
                  <c:v>3</c:v>
                </c:pt>
                <c:pt idx="18">
                  <c:v>2</c:v>
                </c:pt>
                <c:pt idx="19">
                  <c:v>1</c:v>
                </c:pt>
              </c:numCache>
            </c:numRef>
          </c:val>
          <c:smooth val="0"/>
        </c:ser>
        <c:axId val="23993100"/>
        <c:axId val="14611309"/>
      </c:lineChart>
      <c:catAx>
        <c:axId val="23993100"/>
        <c:scaling>
          <c:orientation val="minMax"/>
        </c:scaling>
        <c:axPos val="b"/>
        <c:majorGridlines/>
        <c:delete val="0"/>
        <c:numFmt formatCode="General" sourceLinked="1"/>
        <c:majorTickMark val="out"/>
        <c:minorTickMark val="none"/>
        <c:tickLblPos val="nextTo"/>
        <c:crossAx val="14611309"/>
        <c:crosses val="autoZero"/>
        <c:auto val="1"/>
        <c:lblOffset val="100"/>
        <c:noMultiLvlLbl val="0"/>
      </c:catAx>
      <c:valAx>
        <c:axId val="14611309"/>
        <c:scaling>
          <c:orientation val="minMax"/>
        </c:scaling>
        <c:axPos val="l"/>
        <c:majorGridlines/>
        <c:delete val="0"/>
        <c:numFmt formatCode="General" sourceLinked="1"/>
        <c:majorTickMark val="out"/>
        <c:minorTickMark val="none"/>
        <c:tickLblPos val="nextTo"/>
        <c:crossAx val="2399310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4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Description!#REF!</c:f>
              <c:strCache>
                <c:ptCount val="1"/>
                <c:pt idx="0">
                  <c:v>1</c:v>
                </c:pt>
              </c:strCache>
            </c:strRef>
          </c:cat>
          <c:val>
            <c:numRef>
              <c:f>Description!#REF!</c:f>
              <c:numCache>
                <c:ptCount val="1"/>
                <c:pt idx="0">
                  <c:v>1</c:v>
                </c:pt>
              </c:numCache>
            </c:numRef>
          </c:val>
          <c:smooth val="1"/>
        </c:ser>
        <c:axId val="64392918"/>
        <c:axId val="42665351"/>
      </c:lineChart>
      <c:catAx>
        <c:axId val="64392918"/>
        <c:scaling>
          <c:orientation val="minMax"/>
        </c:scaling>
        <c:axPos val="b"/>
        <c:title>
          <c:tx>
            <c:rich>
              <a:bodyPr vert="horz" rot="0" anchor="ctr"/>
              <a:lstStyle/>
              <a:p>
                <a:pPr algn="ctr">
                  <a:defRPr/>
                </a:pPr>
                <a:r>
                  <a:rPr lang="en-US"/>
                  <a:t>Years</a:t>
                </a:r>
              </a:p>
            </c:rich>
          </c:tx>
          <c:layout/>
          <c:overlay val="0"/>
          <c:spPr>
            <a:noFill/>
            <a:ln>
              <a:noFill/>
            </a:ln>
          </c:spPr>
        </c:title>
        <c:majorGridlines/>
        <c:delete val="0"/>
        <c:numFmt formatCode="General" sourceLinked="1"/>
        <c:majorTickMark val="out"/>
        <c:minorTickMark val="none"/>
        <c:tickLblPos val="nextTo"/>
        <c:crossAx val="42665351"/>
        <c:crosses val="autoZero"/>
        <c:auto val="1"/>
        <c:lblOffset val="100"/>
        <c:noMultiLvlLbl val="0"/>
      </c:catAx>
      <c:valAx>
        <c:axId val="42665351"/>
        <c:scaling>
          <c:orientation val="minMax"/>
        </c:scaling>
        <c:axPos val="l"/>
        <c:title>
          <c:tx>
            <c:rich>
              <a:bodyPr vert="horz" rot="-5400000" anchor="ctr"/>
              <a:lstStyle/>
              <a:p>
                <a:pPr algn="ctr">
                  <a:defRPr/>
                </a:pPr>
                <a:r>
                  <a:rPr lang="en-US" cap="none" sz="275" b="1" i="0" u="none" baseline="0">
                    <a:latin typeface="Arial"/>
                    <a:ea typeface="Arial"/>
                    <a:cs typeface="Arial"/>
                  </a:rPr>
                  <a:t>Valuation in Dollars</a:t>
                </a:r>
              </a:p>
            </c:rich>
          </c:tx>
          <c:layout/>
          <c:overlay val="0"/>
          <c:spPr>
            <a:noFill/>
            <a:ln>
              <a:noFill/>
            </a:ln>
          </c:spPr>
        </c:title>
        <c:majorGridlines/>
        <c:delete val="0"/>
        <c:numFmt formatCode="General" sourceLinked="1"/>
        <c:majorTickMark val="out"/>
        <c:minorTickMark val="none"/>
        <c:tickLblPos val="nextTo"/>
        <c:crossAx val="64392918"/>
        <c:crossesAt val="1"/>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275" b="1"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'[1]Executive Summary'!#REF!</c:f>
              <c:strCache>
                <c:ptCount val="1"/>
                <c:pt idx="0">
                  <c:v>1</c:v>
                </c:pt>
              </c:strCache>
            </c:strRef>
          </c:cat>
          <c:val>
            <c:numRef>
              <c:f>'[1]Executive Summary'!#REF!</c:f>
              <c:numCache>
                <c:ptCount val="1"/>
                <c:pt idx="0">
                  <c:v>1</c:v>
                </c:pt>
              </c:numCache>
            </c:numRef>
          </c:val>
          <c:smooth val="1"/>
        </c:ser>
        <c:axId val="48443840"/>
        <c:axId val="33341377"/>
      </c:lineChart>
      <c:catAx>
        <c:axId val="48443840"/>
        <c:scaling>
          <c:orientation val="minMax"/>
        </c:scaling>
        <c:axPos val="b"/>
        <c:title>
          <c:tx>
            <c:rich>
              <a:bodyPr vert="horz" rot="0" anchor="ctr"/>
              <a:lstStyle/>
              <a:p>
                <a:pPr algn="ctr">
                  <a:defRPr/>
                </a:pPr>
                <a:r>
                  <a:rPr lang="en-US"/>
                  <a:t>Years</a:t>
                </a:r>
              </a:p>
            </c:rich>
          </c:tx>
          <c:layout/>
          <c:overlay val="0"/>
          <c:spPr>
            <a:noFill/>
            <a:ln>
              <a:noFill/>
            </a:ln>
          </c:spPr>
        </c:title>
        <c:majorGridlines/>
        <c:delete val="0"/>
        <c:numFmt formatCode="General" sourceLinked="1"/>
        <c:majorTickMark val="out"/>
        <c:minorTickMark val="none"/>
        <c:tickLblPos val="nextTo"/>
        <c:crossAx val="33341377"/>
        <c:crosses val="autoZero"/>
        <c:auto val="1"/>
        <c:lblOffset val="100"/>
        <c:noMultiLvlLbl val="0"/>
      </c:catAx>
      <c:valAx>
        <c:axId val="33341377"/>
        <c:scaling>
          <c:orientation val="minMax"/>
        </c:scaling>
        <c:axPos val="l"/>
        <c:title>
          <c:tx>
            <c:rich>
              <a:bodyPr vert="horz" rot="-5400000" anchor="ctr"/>
              <a:lstStyle/>
              <a:p>
                <a:pPr algn="ctr">
                  <a:defRPr/>
                </a:pPr>
                <a:r>
                  <a:rPr lang="en-US" cap="none" sz="275" b="1" i="0" u="none" baseline="0">
                    <a:latin typeface="Arial"/>
                    <a:ea typeface="Arial"/>
                    <a:cs typeface="Arial"/>
                  </a:rPr>
                  <a:t>Valuation in Dollars</a:t>
                </a:r>
              </a:p>
            </c:rich>
          </c:tx>
          <c:layout/>
          <c:overlay val="0"/>
          <c:spPr>
            <a:noFill/>
            <a:ln>
              <a:noFill/>
            </a:ln>
          </c:spPr>
        </c:title>
        <c:majorGridlines/>
        <c:delete val="0"/>
        <c:numFmt formatCode="General" sourceLinked="1"/>
        <c:majorTickMark val="out"/>
        <c:minorTickMark val="none"/>
        <c:tickLblPos val="nextTo"/>
        <c:crossAx val="48443840"/>
        <c:crossesAt val="1"/>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275" b="1"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25</xdr:row>
      <xdr:rowOff>76200</xdr:rowOff>
    </xdr:from>
    <xdr:to>
      <xdr:col>9</xdr:col>
      <xdr:colOff>257175</xdr:colOff>
      <xdr:row>30</xdr:row>
      <xdr:rowOff>114300</xdr:rowOff>
    </xdr:to>
    <xdr:sp>
      <xdr:nvSpPr>
        <xdr:cNvPr id="1" name="TextBox 1"/>
        <xdr:cNvSpPr txBox="1">
          <a:spLocks noChangeArrowheads="1"/>
        </xdr:cNvSpPr>
      </xdr:nvSpPr>
      <xdr:spPr>
        <a:xfrm>
          <a:off x="409575" y="6219825"/>
          <a:ext cx="6391275" cy="971550"/>
        </a:xfrm>
        <a:prstGeom prst="rect">
          <a:avLst/>
        </a:prstGeom>
        <a:solidFill>
          <a:srgbClr val="FFFFFF"/>
        </a:solidFill>
        <a:ln w="9525" cmpd="sng">
          <a:noFill/>
        </a:ln>
      </xdr:spPr>
      <xdr:txBody>
        <a:bodyPr vertOverflow="clip" wrap="square"/>
        <a:p>
          <a:pPr algn="just">
            <a:defRPr/>
          </a:pPr>
          <a:r>
            <a:rPr lang="en-US" cap="none" sz="800" b="0" i="0" u="none" baseline="0">
              <a:latin typeface="Arial"/>
              <a:ea typeface="Arial"/>
              <a:cs typeface="Arial"/>
            </a:rPr>
            <a:t>This Valuation Analysis is a strategic tool for management and a financial forecasting tool.  The data presented is not necessarily prepared in accordance with Generally Accepted Accounting Principles (GAAP).  No representation or warranty is made as to the accuracy, reliability or completeness of any of the information contained herein.   Nothing contained in this document is, or should be relied upon as, a promise or representation of future events or conditions. Recipients of this document agree that all information contained herein is of a confidential nature, that they will treat it in such confidential manner and that they will not, directly or indirectly, disclose or permit their agents or affiliates to disclose any of such information without the prior written consent of this company. </a:t>
          </a:r>
        </a:p>
      </xdr:txBody>
    </xdr:sp>
    <xdr:clientData/>
  </xdr:twoCellAnchor>
  <xdr:twoCellAnchor>
    <xdr:from>
      <xdr:col>10</xdr:col>
      <xdr:colOff>495300</xdr:colOff>
      <xdr:row>12</xdr:row>
      <xdr:rowOff>180975</xdr:rowOff>
    </xdr:from>
    <xdr:to>
      <xdr:col>10</xdr:col>
      <xdr:colOff>495300</xdr:colOff>
      <xdr:row>27</xdr:row>
      <xdr:rowOff>114300</xdr:rowOff>
    </xdr:to>
    <xdr:sp>
      <xdr:nvSpPr>
        <xdr:cNvPr id="2" name="Line 12"/>
        <xdr:cNvSpPr>
          <a:spLocks/>
        </xdr:cNvSpPr>
      </xdr:nvSpPr>
      <xdr:spPr>
        <a:xfrm>
          <a:off x="7648575" y="2952750"/>
          <a:ext cx="0" cy="3629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561975</xdr:colOff>
      <xdr:row>14</xdr:row>
      <xdr:rowOff>85725</xdr:rowOff>
    </xdr:from>
    <xdr:to>
      <xdr:col>13</xdr:col>
      <xdr:colOff>590550</xdr:colOff>
      <xdr:row>23</xdr:row>
      <xdr:rowOff>28575</xdr:rowOff>
    </xdr:to>
    <xdr:sp>
      <xdr:nvSpPr>
        <xdr:cNvPr id="3" name="Text 10"/>
        <xdr:cNvSpPr txBox="1">
          <a:spLocks noChangeArrowheads="1"/>
        </xdr:cNvSpPr>
      </xdr:nvSpPr>
      <xdr:spPr>
        <a:xfrm>
          <a:off x="7715250" y="3419475"/>
          <a:ext cx="1857375" cy="2428875"/>
        </a:xfrm>
        <a:prstGeom prst="rect">
          <a:avLst/>
        </a:prstGeom>
        <a:solidFill>
          <a:srgbClr val="FFFFFF"/>
        </a:solidFill>
        <a:ln w="9525" cmpd="sng">
          <a:noFill/>
        </a:ln>
      </xdr:spPr>
      <xdr:txBody>
        <a:bodyPr vertOverflow="clip" wrap="square"/>
        <a:p>
          <a:pPr algn="l">
            <a:defRPr/>
          </a:pPr>
          <a:r>
            <a:rPr lang="en-US" cap="none" sz="1200" b="1" i="0" u="sng" baseline="0">
              <a:latin typeface="Arial MT"/>
              <a:ea typeface="Arial MT"/>
              <a:cs typeface="Arial MT"/>
            </a:rPr>
            <a:t>Contents:</a:t>
          </a:r>
          <a:r>
            <a:rPr lang="en-US" cap="none" sz="1200" b="0" i="0" u="none" baseline="0">
              <a:latin typeface="Arial MT"/>
              <a:ea typeface="Arial MT"/>
              <a:cs typeface="Arial MT"/>
            </a:rPr>
            <a:t> </a:t>
          </a:r>
          <a:r>
            <a:rPr lang="en-US" cap="none" sz="1000" b="0" i="0" u="none" baseline="0">
              <a:latin typeface="Arial MT"/>
              <a:ea typeface="Arial MT"/>
              <a:cs typeface="Arial MT"/>
            </a:rPr>
            <a:t>
</a:t>
          </a:r>
          <a:r>
            <a:rPr lang="en-US" cap="none" sz="1000" b="1" i="0" u="none" baseline="0">
              <a:latin typeface="Arial MT"/>
              <a:ea typeface="Arial MT"/>
              <a:cs typeface="Arial MT"/>
            </a:rPr>
            <a:t>ANALYSIS</a:t>
          </a:r>
          <a:r>
            <a:rPr lang="en-US" cap="none" sz="1000" b="0" i="0" u="none" baseline="0">
              <a:latin typeface="Arial MT"/>
              <a:ea typeface="Arial MT"/>
              <a:cs typeface="Arial MT"/>
            </a:rPr>
            <a:t>
</a:t>
          </a:r>
          <a:r>
            <a:rPr lang="en-US" cap="none" sz="1100" b="0" i="0" u="none" baseline="0">
              <a:latin typeface="Arial MT"/>
              <a:ea typeface="Arial MT"/>
              <a:cs typeface="Arial MT"/>
            </a:rPr>
            <a:t>Valuation Parameters
Revenue Forecast - PV</a:t>
          </a:r>
          <a:r>
            <a:rPr lang="en-US" cap="none" sz="1000" b="0" i="0" u="none" baseline="0">
              <a:latin typeface="Arial MT"/>
              <a:ea typeface="Arial MT"/>
              <a:cs typeface="Arial MT"/>
            </a:rPr>
            <a:t>
</a:t>
          </a:r>
          <a:r>
            <a:rPr lang="en-US" cap="none" sz="1100" b="0" i="0" u="none" baseline="0">
              <a:latin typeface="Arial MT"/>
              <a:ea typeface="Arial MT"/>
              <a:cs typeface="Arial MT"/>
            </a:rPr>
            <a:t>Contribution Margin - NPV</a:t>
          </a:r>
          <a:r>
            <a:rPr lang="en-US" cap="none" sz="1000" b="0" i="0" u="none" baseline="0">
              <a:latin typeface="Arial MT"/>
              <a:ea typeface="Arial MT"/>
              <a:cs typeface="Arial MT"/>
            </a:rPr>
            <a:t>
</a:t>
          </a:r>
          <a:r>
            <a:rPr lang="en-US" cap="none" sz="1100" b="0" i="0" u="none" baseline="0">
              <a:latin typeface="Arial MT"/>
              <a:ea typeface="Arial MT"/>
              <a:cs typeface="Arial MT"/>
            </a:rPr>
            <a:t>Value Profile - rNPV
Summary and rNPV Chart</a:t>
          </a:r>
          <a:r>
            <a:rPr lang="en-US" cap="none" sz="1000" b="0" i="0" u="none" baseline="0">
              <a:latin typeface="Arial MT"/>
              <a:ea typeface="Arial MT"/>
              <a:cs typeface="Arial MT"/>
            </a:rPr>
            <a:t>
</a:t>
          </a:r>
          <a:r>
            <a:rPr lang="en-US" cap="none" sz="1100" b="1" i="0" u="none" baseline="0">
              <a:latin typeface="Arial MT"/>
              <a:ea typeface="Arial MT"/>
              <a:cs typeface="Arial MT"/>
            </a:rPr>
            <a:t>                                          </a:t>
          </a:r>
          <a:r>
            <a:rPr lang="en-US" cap="none" sz="1100" b="0" i="0" u="none" baseline="0">
              <a:latin typeface="Arial MT"/>
              <a:ea typeface="Arial MT"/>
              <a:cs typeface="Arial MT"/>
            </a:rPr>
            <a:t>
</a:t>
          </a:r>
          <a:r>
            <a:rPr lang="en-US" cap="none" sz="1100" b="1" i="0" u="none" baseline="0">
              <a:latin typeface="Arial MT"/>
              <a:ea typeface="Arial MT"/>
              <a:cs typeface="Arial MT"/>
            </a:rPr>
            <a:t>DESCRIPTION</a:t>
          </a:r>
          <a:r>
            <a:rPr lang="en-US" cap="none" sz="1100" b="0" i="0" u="none" baseline="0">
              <a:latin typeface="Arial MT"/>
              <a:ea typeface="Arial MT"/>
              <a:cs typeface="Arial MT"/>
            </a:rPr>
            <a:t> of Valuation Schedules
Model </a:t>
          </a:r>
          <a:r>
            <a:rPr lang="en-US" cap="none" sz="1100" b="1" i="0" u="none" baseline="0">
              <a:latin typeface="Arial MT"/>
              <a:ea typeface="Arial MT"/>
              <a:cs typeface="Arial MT"/>
            </a:rPr>
            <a:t>INSTRUCTIONS</a:t>
          </a:r>
          <a:r>
            <a:rPr lang="en-US" cap="none" sz="800" b="0" i="0" u="none" baseline="0">
              <a:latin typeface="Arial MT"/>
              <a:ea typeface="Arial MT"/>
              <a:cs typeface="Arial MT"/>
            </a:rPr>
            <a:t>
</a:t>
          </a:r>
          <a:r>
            <a:rPr lang="en-US" cap="none" sz="800" b="1" i="0" u="none" baseline="0">
              <a:latin typeface="Arial MT"/>
              <a:ea typeface="Arial MT"/>
              <a:cs typeface="Arial MT"/>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0.46675</cdr:x>
      <cdr:y>0</cdr:y>
    </cdr:from>
    <cdr:to>
      <cdr:x>0.737</cdr:x>
      <cdr:y>0</cdr:y>
    </cdr:to>
    <cdr:sp>
      <cdr:nvSpPr>
        <cdr:cNvPr id="1" name="TextBox 1"/>
        <cdr:cNvSpPr txBox="1">
          <a:spLocks noChangeArrowheads="1"/>
        </cdr:cNvSpPr>
      </cdr:nvSpPr>
      <cdr:spPr>
        <a:xfrm>
          <a:off x="10353675" y="0"/>
          <a:ext cx="6000750" cy="0"/>
        </a:xfrm>
        <a:prstGeom prst="rect">
          <a:avLst/>
        </a:prstGeom>
        <a:noFill/>
        <a:ln w="9525" cmpd="sng">
          <a:noFill/>
        </a:ln>
      </cdr:spPr>
      <cdr:txBody>
        <a:bodyPr vertOverflow="clip" wrap="square"/>
        <a:p>
          <a:pPr algn="l">
            <a:defRPr/>
          </a:pPr>
          <a:r>
            <a:rPr lang="en-US" cap="none" sz="100" b="1" i="0" u="none" baseline="0">
              <a:latin typeface="Arial"/>
              <a:ea typeface="Arial"/>
              <a:cs typeface="Arial"/>
            </a:rPr>
            <a:t>Lidocaine COPD - Value Profile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219075</xdr:rowOff>
    </xdr:from>
    <xdr:to>
      <xdr:col>3</xdr:col>
      <xdr:colOff>1219200</xdr:colOff>
      <xdr:row>6</xdr:row>
      <xdr:rowOff>38100</xdr:rowOff>
    </xdr:to>
    <xdr:sp>
      <xdr:nvSpPr>
        <xdr:cNvPr id="1" name="AutoShape 11"/>
        <xdr:cNvSpPr>
          <a:spLocks/>
        </xdr:cNvSpPr>
      </xdr:nvSpPr>
      <xdr:spPr>
        <a:xfrm rot="16203098">
          <a:off x="28575" y="1704975"/>
          <a:ext cx="6915150" cy="381000"/>
        </a:xfrm>
        <a:prstGeom prst="rect">
          <a:avLst/>
        </a:prstGeom>
        <a:gradFill rotWithShape="1">
          <a:gsLst>
            <a:gs pos="0">
              <a:srgbClr val="000075"/>
            </a:gs>
            <a:gs pos="100000">
              <a:srgbClr val="0000FF"/>
            </a:gs>
          </a:gsLst>
          <a:lin ang="0" scaled="1"/>
        </a:gra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1609725</xdr:colOff>
      <xdr:row>4</xdr:row>
      <xdr:rowOff>209550</xdr:rowOff>
    </xdr:from>
    <xdr:to>
      <xdr:col>13</xdr:col>
      <xdr:colOff>0</xdr:colOff>
      <xdr:row>6</xdr:row>
      <xdr:rowOff>28575</xdr:rowOff>
    </xdr:to>
    <xdr:sp>
      <xdr:nvSpPr>
        <xdr:cNvPr id="2" name="AutoShape 10"/>
        <xdr:cNvSpPr>
          <a:spLocks/>
        </xdr:cNvSpPr>
      </xdr:nvSpPr>
      <xdr:spPr>
        <a:xfrm rot="16200000">
          <a:off x="7334250" y="1695450"/>
          <a:ext cx="14868525" cy="381000"/>
        </a:xfrm>
        <a:prstGeom prst="rect">
          <a:avLst/>
        </a:prstGeom>
        <a:gradFill rotWithShape="1">
          <a:gsLst>
            <a:gs pos="0">
              <a:srgbClr val="000075"/>
            </a:gs>
            <a:gs pos="100000">
              <a:srgbClr val="0000FF"/>
            </a:gs>
          </a:gsLst>
          <a:lin ang="0" scaled="1"/>
        </a:gra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253</xdr:row>
      <xdr:rowOff>0</xdr:rowOff>
    </xdr:from>
    <xdr:to>
      <xdr:col>13</xdr:col>
      <xdr:colOff>0</xdr:colOff>
      <xdr:row>253</xdr:row>
      <xdr:rowOff>0</xdr:rowOff>
    </xdr:to>
    <xdr:graphicFrame>
      <xdr:nvGraphicFramePr>
        <xdr:cNvPr id="3" name="Chart 1"/>
        <xdr:cNvGraphicFramePr/>
      </xdr:nvGraphicFramePr>
      <xdr:xfrm>
        <a:off x="0" y="66379725"/>
        <a:ext cx="22202775" cy="0"/>
      </xdr:xfrm>
      <a:graphic>
        <a:graphicData uri="http://schemas.openxmlformats.org/drawingml/2006/chart">
          <c:chart xmlns:c="http://schemas.openxmlformats.org/drawingml/2006/chart" r:id="rId1"/>
        </a:graphicData>
      </a:graphic>
    </xdr:graphicFrame>
    <xdr:clientData/>
  </xdr:twoCellAnchor>
  <xdr:twoCellAnchor>
    <xdr:from>
      <xdr:col>3</xdr:col>
      <xdr:colOff>1552575</xdr:colOff>
      <xdr:row>4</xdr:row>
      <xdr:rowOff>209550</xdr:rowOff>
    </xdr:from>
    <xdr:to>
      <xdr:col>5</xdr:col>
      <xdr:colOff>123825</xdr:colOff>
      <xdr:row>6</xdr:row>
      <xdr:rowOff>133350</xdr:rowOff>
    </xdr:to>
    <xdr:sp>
      <xdr:nvSpPr>
        <xdr:cNvPr id="4" name="TextBox 6"/>
        <xdr:cNvSpPr txBox="1">
          <a:spLocks noChangeArrowheads="1"/>
        </xdr:cNvSpPr>
      </xdr:nvSpPr>
      <xdr:spPr>
        <a:xfrm>
          <a:off x="7277100" y="1695450"/>
          <a:ext cx="1809750" cy="485775"/>
        </a:xfrm>
        <a:prstGeom prst="rect">
          <a:avLst/>
        </a:prstGeom>
        <a:noFill/>
        <a:ln w="9525" cmpd="sng">
          <a:noFill/>
        </a:ln>
      </xdr:spPr>
      <xdr:txBody>
        <a:bodyPr vertOverflow="clip" wrap="square"/>
        <a:p>
          <a:pPr algn="l">
            <a:defRPr/>
          </a:pPr>
          <a:r>
            <a:rPr lang="en-US" cap="none" sz="2200" b="1" i="0" u="none" baseline="0">
              <a:solidFill>
                <a:srgbClr val="FFFFFF"/>
              </a:solidFill>
              <a:latin typeface="Arial"/>
              <a:ea typeface="Arial"/>
              <a:cs typeface="Arial"/>
            </a:rPr>
            <a:t>  SOURCE</a:t>
          </a:r>
        </a:p>
      </xdr:txBody>
    </xdr:sp>
    <xdr:clientData/>
  </xdr:twoCellAnchor>
  <xdr:twoCellAnchor>
    <xdr:from>
      <xdr:col>0</xdr:col>
      <xdr:colOff>28575</xdr:colOff>
      <xdr:row>4</xdr:row>
      <xdr:rowOff>209550</xdr:rowOff>
    </xdr:from>
    <xdr:to>
      <xdr:col>0</xdr:col>
      <xdr:colOff>1838325</xdr:colOff>
      <xdr:row>6</xdr:row>
      <xdr:rowOff>133350</xdr:rowOff>
    </xdr:to>
    <xdr:sp>
      <xdr:nvSpPr>
        <xdr:cNvPr id="5" name="TextBox 9"/>
        <xdr:cNvSpPr txBox="1">
          <a:spLocks noChangeArrowheads="1"/>
        </xdr:cNvSpPr>
      </xdr:nvSpPr>
      <xdr:spPr>
        <a:xfrm>
          <a:off x="28575" y="1695450"/>
          <a:ext cx="1809750" cy="485775"/>
        </a:xfrm>
        <a:prstGeom prst="rect">
          <a:avLst/>
        </a:prstGeom>
        <a:noFill/>
        <a:ln w="9525" cmpd="sng">
          <a:noFill/>
        </a:ln>
      </xdr:spPr>
      <xdr:txBody>
        <a:bodyPr vertOverflow="clip" wrap="square"/>
        <a:p>
          <a:pPr algn="l">
            <a:defRPr/>
          </a:pPr>
          <a:r>
            <a:rPr lang="en-US" cap="none" sz="2200" b="1" i="0" u="none" baseline="0">
              <a:solidFill>
                <a:srgbClr val="FFFFFF"/>
              </a:solidFill>
              <a:latin typeface="Arial"/>
              <a:ea typeface="Arial"/>
              <a:cs typeface="Arial"/>
            </a:rPr>
            <a:t>METRIC</a:t>
          </a:r>
        </a:p>
      </xdr:txBody>
    </xdr:sp>
    <xdr:clientData/>
  </xdr:twoCellAnchor>
  <xdr:twoCellAnchor>
    <xdr:from>
      <xdr:col>0</xdr:col>
      <xdr:colOff>314325</xdr:colOff>
      <xdr:row>262</xdr:row>
      <xdr:rowOff>142875</xdr:rowOff>
    </xdr:from>
    <xdr:to>
      <xdr:col>12</xdr:col>
      <xdr:colOff>1047750</xdr:colOff>
      <xdr:row>309</xdr:row>
      <xdr:rowOff>142875</xdr:rowOff>
    </xdr:to>
    <xdr:graphicFrame>
      <xdr:nvGraphicFramePr>
        <xdr:cNvPr id="6" name="Chart 13"/>
        <xdr:cNvGraphicFramePr/>
      </xdr:nvGraphicFramePr>
      <xdr:xfrm>
        <a:off x="314325" y="68789550"/>
        <a:ext cx="21031200" cy="76771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42</xdr:row>
      <xdr:rowOff>57150</xdr:rowOff>
    </xdr:from>
    <xdr:to>
      <xdr:col>10</xdr:col>
      <xdr:colOff>552450</xdr:colOff>
      <xdr:row>50</xdr:row>
      <xdr:rowOff>66675</xdr:rowOff>
    </xdr:to>
    <xdr:graphicFrame>
      <xdr:nvGraphicFramePr>
        <xdr:cNvPr id="1" name="Chart 145"/>
        <xdr:cNvGraphicFramePr/>
      </xdr:nvGraphicFramePr>
      <xdr:xfrm>
        <a:off x="5981700" y="6953250"/>
        <a:ext cx="2714625" cy="1304925"/>
      </xdr:xfrm>
      <a:graphic>
        <a:graphicData uri="http://schemas.openxmlformats.org/drawingml/2006/chart">
          <c:chart xmlns:c="http://schemas.openxmlformats.org/drawingml/2006/chart" r:id="rId1"/>
        </a:graphicData>
      </a:graphic>
    </xdr:graphicFrame>
    <xdr:clientData/>
  </xdr:twoCellAnchor>
  <xdr:twoCellAnchor>
    <xdr:from>
      <xdr:col>8</xdr:col>
      <xdr:colOff>152400</xdr:colOff>
      <xdr:row>0</xdr:row>
      <xdr:rowOff>0</xdr:rowOff>
    </xdr:from>
    <xdr:to>
      <xdr:col>11</xdr:col>
      <xdr:colOff>552450</xdr:colOff>
      <xdr:row>0</xdr:row>
      <xdr:rowOff>0</xdr:rowOff>
    </xdr:to>
    <xdr:sp>
      <xdr:nvSpPr>
        <xdr:cNvPr id="2" name="TextBox 7"/>
        <xdr:cNvSpPr txBox="1">
          <a:spLocks noChangeArrowheads="1"/>
        </xdr:cNvSpPr>
      </xdr:nvSpPr>
      <xdr:spPr>
        <a:xfrm>
          <a:off x="7077075" y="0"/>
          <a:ext cx="22288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VALUE PROFILE (&amp; CHART)
</a:t>
          </a:r>
          <a:r>
            <a:rPr lang="en-US" cap="none" sz="900" b="0" i="0" u="none" baseline="0">
              <a:latin typeface="Arial"/>
              <a:ea typeface="Arial"/>
              <a:cs typeface="Arial"/>
            </a:rPr>
            <a:t>(Page 3)</a:t>
          </a:r>
        </a:p>
      </xdr:txBody>
    </xdr:sp>
    <xdr:clientData/>
  </xdr:twoCellAnchor>
  <xdr:twoCellAnchor>
    <xdr:from>
      <xdr:col>9</xdr:col>
      <xdr:colOff>85725</xdr:colOff>
      <xdr:row>0</xdr:row>
      <xdr:rowOff>0</xdr:rowOff>
    </xdr:from>
    <xdr:to>
      <xdr:col>11</xdr:col>
      <xdr:colOff>438150</xdr:colOff>
      <xdr:row>0</xdr:row>
      <xdr:rowOff>0</xdr:rowOff>
    </xdr:to>
    <xdr:sp>
      <xdr:nvSpPr>
        <xdr:cNvPr id="3" name="Rectangle 37"/>
        <xdr:cNvSpPr>
          <a:spLocks/>
        </xdr:cNvSpPr>
      </xdr:nvSpPr>
      <xdr:spPr>
        <a:xfrm>
          <a:off x="7620000" y="0"/>
          <a:ext cx="1571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381000</xdr:colOff>
      <xdr:row>0</xdr:row>
      <xdr:rowOff>0</xdr:rowOff>
    </xdr:from>
    <xdr:to>
      <xdr:col>11</xdr:col>
      <xdr:colOff>381000</xdr:colOff>
      <xdr:row>0</xdr:row>
      <xdr:rowOff>0</xdr:rowOff>
    </xdr:to>
    <xdr:sp>
      <xdr:nvSpPr>
        <xdr:cNvPr id="4" name="AutoShape 47"/>
        <xdr:cNvSpPr>
          <a:spLocks/>
        </xdr:cNvSpPr>
      </xdr:nvSpPr>
      <xdr:spPr>
        <a:xfrm>
          <a:off x="7915275" y="0"/>
          <a:ext cx="1219200" cy="0"/>
        </a:xfrm>
        <a:custGeom>
          <a:pathLst>
            <a:path h="45" w="128">
              <a:moveTo>
                <a:pt x="128" y="45"/>
              </a:moveTo>
              <a:cubicBezTo>
                <a:pt x="120" y="28"/>
                <a:pt x="112" y="12"/>
                <a:pt x="98" y="6"/>
              </a:cubicBezTo>
              <a:cubicBezTo>
                <a:pt x="84" y="0"/>
                <a:pt x="61" y="1"/>
                <a:pt x="45" y="7"/>
              </a:cubicBezTo>
              <a:cubicBezTo>
                <a:pt x="29" y="13"/>
                <a:pt x="7" y="35"/>
                <a:pt x="0" y="40"/>
              </a:cubicBezTo>
            </a:path>
          </a:pathLst>
        </a:cu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3</xdr:col>
      <xdr:colOff>2695575</xdr:colOff>
      <xdr:row>0</xdr:row>
      <xdr:rowOff>0</xdr:rowOff>
    </xdr:to>
    <xdr:graphicFrame>
      <xdr:nvGraphicFramePr>
        <xdr:cNvPr id="5" name="Chart 3"/>
        <xdr:cNvGraphicFramePr/>
      </xdr:nvGraphicFramePr>
      <xdr:xfrm>
        <a:off x="590550" y="0"/>
        <a:ext cx="3276600" cy="0"/>
      </xdr:xfrm>
      <a:graphic>
        <a:graphicData uri="http://schemas.openxmlformats.org/drawingml/2006/chart">
          <c:chart xmlns:c="http://schemas.openxmlformats.org/drawingml/2006/chart" r:id="rId2"/>
        </a:graphicData>
      </a:graphic>
    </xdr:graphicFrame>
    <xdr:clientData/>
  </xdr:twoCellAnchor>
  <xdr:twoCellAnchor>
    <xdr:from>
      <xdr:col>3</xdr:col>
      <xdr:colOff>457200</xdr:colOff>
      <xdr:row>0</xdr:row>
      <xdr:rowOff>0</xdr:rowOff>
    </xdr:from>
    <xdr:to>
      <xdr:col>3</xdr:col>
      <xdr:colOff>1666875</xdr:colOff>
      <xdr:row>0</xdr:row>
      <xdr:rowOff>0</xdr:rowOff>
    </xdr:to>
    <xdr:sp>
      <xdr:nvSpPr>
        <xdr:cNvPr id="6" name="TextBox 4"/>
        <xdr:cNvSpPr txBox="1">
          <a:spLocks noChangeArrowheads="1"/>
        </xdr:cNvSpPr>
      </xdr:nvSpPr>
      <xdr:spPr>
        <a:xfrm>
          <a:off x="1628775" y="0"/>
          <a:ext cx="1209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Valuation During Development Stages</a:t>
          </a:r>
        </a:p>
      </xdr:txBody>
    </xdr:sp>
    <xdr:clientData/>
  </xdr:twoCellAnchor>
  <xdr:twoCellAnchor>
    <xdr:from>
      <xdr:col>3</xdr:col>
      <xdr:colOff>1743075</xdr:colOff>
      <xdr:row>0</xdr:row>
      <xdr:rowOff>0</xdr:rowOff>
    </xdr:from>
    <xdr:to>
      <xdr:col>3</xdr:col>
      <xdr:colOff>2733675</xdr:colOff>
      <xdr:row>0</xdr:row>
      <xdr:rowOff>0</xdr:rowOff>
    </xdr:to>
    <xdr:sp>
      <xdr:nvSpPr>
        <xdr:cNvPr id="7" name="TextBox 5"/>
        <xdr:cNvSpPr txBox="1">
          <a:spLocks noChangeArrowheads="1"/>
        </xdr:cNvSpPr>
      </xdr:nvSpPr>
      <xdr:spPr>
        <a:xfrm>
          <a:off x="2914650" y="0"/>
          <a:ext cx="9906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Valuation During Revenue Stages</a:t>
          </a:r>
        </a:p>
      </xdr:txBody>
    </xdr:sp>
    <xdr:clientData/>
  </xdr:twoCellAnchor>
  <xdr:twoCellAnchor>
    <xdr:from>
      <xdr:col>7</xdr:col>
      <xdr:colOff>523875</xdr:colOff>
      <xdr:row>0</xdr:row>
      <xdr:rowOff>0</xdr:rowOff>
    </xdr:from>
    <xdr:to>
      <xdr:col>11</xdr:col>
      <xdr:colOff>333375</xdr:colOff>
      <xdr:row>0</xdr:row>
      <xdr:rowOff>0</xdr:rowOff>
    </xdr:to>
    <xdr:sp>
      <xdr:nvSpPr>
        <xdr:cNvPr id="8" name="TextBox 8"/>
        <xdr:cNvSpPr txBox="1">
          <a:spLocks noChangeArrowheads="1"/>
        </xdr:cNvSpPr>
      </xdr:nvSpPr>
      <xdr:spPr>
        <a:xfrm>
          <a:off x="6838950" y="0"/>
          <a:ext cx="22479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CONTRIBUTION MARGIN - DCF
</a:t>
          </a:r>
          <a:r>
            <a:rPr lang="en-US" cap="none" sz="900" b="0" i="0" u="none" baseline="0">
              <a:latin typeface="Arial"/>
              <a:ea typeface="Arial"/>
              <a:cs typeface="Arial"/>
            </a:rPr>
            <a:t>(Page 2)</a:t>
          </a:r>
        </a:p>
      </xdr:txBody>
    </xdr:sp>
    <xdr:clientData/>
  </xdr:twoCellAnchor>
  <xdr:twoCellAnchor>
    <xdr:from>
      <xdr:col>7</xdr:col>
      <xdr:colOff>295275</xdr:colOff>
      <xdr:row>0</xdr:row>
      <xdr:rowOff>0</xdr:rowOff>
    </xdr:from>
    <xdr:to>
      <xdr:col>11</xdr:col>
      <xdr:colOff>200025</xdr:colOff>
      <xdr:row>0</xdr:row>
      <xdr:rowOff>0</xdr:rowOff>
    </xdr:to>
    <xdr:sp>
      <xdr:nvSpPr>
        <xdr:cNvPr id="9" name="TextBox 6"/>
        <xdr:cNvSpPr txBox="1">
          <a:spLocks noChangeArrowheads="1"/>
        </xdr:cNvSpPr>
      </xdr:nvSpPr>
      <xdr:spPr>
        <a:xfrm>
          <a:off x="6610350" y="0"/>
          <a:ext cx="2343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MODEL ASSUMPTIONS 
</a:t>
          </a:r>
          <a:r>
            <a:rPr lang="en-US" cap="none" sz="900" b="0" i="0" u="none" baseline="0">
              <a:latin typeface="Arial"/>
              <a:ea typeface="Arial"/>
              <a:cs typeface="Arial"/>
            </a:rPr>
            <a:t>(Page 1)
                                      1  2  3  4  5  6  7  8  9  </a:t>
          </a:r>
        </a:p>
      </xdr:txBody>
    </xdr:sp>
    <xdr:clientData/>
  </xdr:twoCellAnchor>
  <xdr:twoCellAnchor>
    <xdr:from>
      <xdr:col>8</xdr:col>
      <xdr:colOff>200025</xdr:colOff>
      <xdr:row>0</xdr:row>
      <xdr:rowOff>0</xdr:rowOff>
    </xdr:from>
    <xdr:to>
      <xdr:col>11</xdr:col>
      <xdr:colOff>19050</xdr:colOff>
      <xdr:row>0</xdr:row>
      <xdr:rowOff>0</xdr:rowOff>
    </xdr:to>
    <xdr:sp>
      <xdr:nvSpPr>
        <xdr:cNvPr id="10" name="Line 9"/>
        <xdr:cNvSpPr>
          <a:spLocks/>
        </xdr:cNvSpPr>
      </xdr:nvSpPr>
      <xdr:spPr>
        <a:xfrm>
          <a:off x="7124700" y="0"/>
          <a:ext cx="164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0</xdr:row>
      <xdr:rowOff>0</xdr:rowOff>
    </xdr:from>
    <xdr:to>
      <xdr:col>8</xdr:col>
      <xdr:colOff>200025</xdr:colOff>
      <xdr:row>0</xdr:row>
      <xdr:rowOff>0</xdr:rowOff>
    </xdr:to>
    <xdr:sp>
      <xdr:nvSpPr>
        <xdr:cNvPr id="11" name="Line 10"/>
        <xdr:cNvSpPr>
          <a:spLocks/>
        </xdr:cNvSpPr>
      </xdr:nvSpPr>
      <xdr:spPr>
        <a:xfrm>
          <a:off x="7124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0</xdr:row>
      <xdr:rowOff>0</xdr:rowOff>
    </xdr:from>
    <xdr:to>
      <xdr:col>11</xdr:col>
      <xdr:colOff>0</xdr:colOff>
      <xdr:row>0</xdr:row>
      <xdr:rowOff>0</xdr:rowOff>
    </xdr:to>
    <xdr:sp>
      <xdr:nvSpPr>
        <xdr:cNvPr id="12" name="Line 11"/>
        <xdr:cNvSpPr>
          <a:spLocks/>
        </xdr:cNvSpPr>
      </xdr:nvSpPr>
      <xdr:spPr>
        <a:xfrm>
          <a:off x="7124700" y="0"/>
          <a:ext cx="1628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0</xdr:row>
      <xdr:rowOff>0</xdr:rowOff>
    </xdr:from>
    <xdr:to>
      <xdr:col>11</xdr:col>
      <xdr:colOff>19050</xdr:colOff>
      <xdr:row>0</xdr:row>
      <xdr:rowOff>0</xdr:rowOff>
    </xdr:to>
    <xdr:sp>
      <xdr:nvSpPr>
        <xdr:cNvPr id="13" name="Line 12"/>
        <xdr:cNvSpPr>
          <a:spLocks/>
        </xdr:cNvSpPr>
      </xdr:nvSpPr>
      <xdr:spPr>
        <a:xfrm>
          <a:off x="7143750" y="0"/>
          <a:ext cx="1628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0</xdr:row>
      <xdr:rowOff>0</xdr:rowOff>
    </xdr:from>
    <xdr:to>
      <xdr:col>9</xdr:col>
      <xdr:colOff>142875</xdr:colOff>
      <xdr:row>0</xdr:row>
      <xdr:rowOff>0</xdr:rowOff>
    </xdr:to>
    <xdr:sp>
      <xdr:nvSpPr>
        <xdr:cNvPr id="14" name="Line 13"/>
        <xdr:cNvSpPr>
          <a:spLocks/>
        </xdr:cNvSpPr>
      </xdr:nvSpPr>
      <xdr:spPr>
        <a:xfrm>
          <a:off x="7677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0</xdr:row>
      <xdr:rowOff>0</xdr:rowOff>
    </xdr:from>
    <xdr:to>
      <xdr:col>9</xdr:col>
      <xdr:colOff>371475</xdr:colOff>
      <xdr:row>0</xdr:row>
      <xdr:rowOff>0</xdr:rowOff>
    </xdr:to>
    <xdr:sp>
      <xdr:nvSpPr>
        <xdr:cNvPr id="15" name="Line 14"/>
        <xdr:cNvSpPr>
          <a:spLocks/>
        </xdr:cNvSpPr>
      </xdr:nvSpPr>
      <xdr:spPr>
        <a:xfrm>
          <a:off x="7905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0</xdr:row>
      <xdr:rowOff>0</xdr:rowOff>
    </xdr:from>
    <xdr:to>
      <xdr:col>9</xdr:col>
      <xdr:colOff>485775</xdr:colOff>
      <xdr:row>0</xdr:row>
      <xdr:rowOff>0</xdr:rowOff>
    </xdr:to>
    <xdr:sp>
      <xdr:nvSpPr>
        <xdr:cNvPr id="16" name="Line 15"/>
        <xdr:cNvSpPr>
          <a:spLocks/>
        </xdr:cNvSpPr>
      </xdr:nvSpPr>
      <xdr:spPr>
        <a:xfrm>
          <a:off x="8020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600075</xdr:colOff>
      <xdr:row>0</xdr:row>
      <xdr:rowOff>0</xdr:rowOff>
    </xdr:from>
    <xdr:to>
      <xdr:col>9</xdr:col>
      <xdr:colOff>600075</xdr:colOff>
      <xdr:row>0</xdr:row>
      <xdr:rowOff>0</xdr:rowOff>
    </xdr:to>
    <xdr:sp>
      <xdr:nvSpPr>
        <xdr:cNvPr id="17" name="Line 16"/>
        <xdr:cNvSpPr>
          <a:spLocks/>
        </xdr:cNvSpPr>
      </xdr:nvSpPr>
      <xdr:spPr>
        <a:xfrm>
          <a:off x="8134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219075</xdr:colOff>
      <xdr:row>0</xdr:row>
      <xdr:rowOff>0</xdr:rowOff>
    </xdr:from>
    <xdr:to>
      <xdr:col>10</xdr:col>
      <xdr:colOff>219075</xdr:colOff>
      <xdr:row>0</xdr:row>
      <xdr:rowOff>0</xdr:rowOff>
    </xdr:to>
    <xdr:sp>
      <xdr:nvSpPr>
        <xdr:cNvPr id="18" name="Line 17"/>
        <xdr:cNvSpPr>
          <a:spLocks/>
        </xdr:cNvSpPr>
      </xdr:nvSpPr>
      <xdr:spPr>
        <a:xfrm>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0</xdr:row>
      <xdr:rowOff>0</xdr:rowOff>
    </xdr:from>
    <xdr:to>
      <xdr:col>10</xdr:col>
      <xdr:colOff>104775</xdr:colOff>
      <xdr:row>0</xdr:row>
      <xdr:rowOff>0</xdr:rowOff>
    </xdr:to>
    <xdr:sp>
      <xdr:nvSpPr>
        <xdr:cNvPr id="19" name="Line 18"/>
        <xdr:cNvSpPr>
          <a:spLocks/>
        </xdr:cNvSpPr>
      </xdr:nvSpPr>
      <xdr:spPr>
        <a:xfrm>
          <a:off x="8248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352425</xdr:colOff>
      <xdr:row>0</xdr:row>
      <xdr:rowOff>0</xdr:rowOff>
    </xdr:from>
    <xdr:to>
      <xdr:col>10</xdr:col>
      <xdr:colOff>352425</xdr:colOff>
      <xdr:row>0</xdr:row>
      <xdr:rowOff>0</xdr:rowOff>
    </xdr:to>
    <xdr:sp>
      <xdr:nvSpPr>
        <xdr:cNvPr id="20" name="Line 19"/>
        <xdr:cNvSpPr>
          <a:spLocks/>
        </xdr:cNvSpPr>
      </xdr:nvSpPr>
      <xdr:spPr>
        <a:xfrm>
          <a:off x="8496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257175</xdr:colOff>
      <xdr:row>0</xdr:row>
      <xdr:rowOff>0</xdr:rowOff>
    </xdr:from>
    <xdr:to>
      <xdr:col>9</xdr:col>
      <xdr:colOff>257175</xdr:colOff>
      <xdr:row>0</xdr:row>
      <xdr:rowOff>0</xdr:rowOff>
    </xdr:to>
    <xdr:sp>
      <xdr:nvSpPr>
        <xdr:cNvPr id="21" name="Line 20"/>
        <xdr:cNvSpPr>
          <a:spLocks/>
        </xdr:cNvSpPr>
      </xdr:nvSpPr>
      <xdr:spPr>
        <a:xfrm>
          <a:off x="7791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485775</xdr:colOff>
      <xdr:row>0</xdr:row>
      <xdr:rowOff>0</xdr:rowOff>
    </xdr:from>
    <xdr:to>
      <xdr:col>10</xdr:col>
      <xdr:colOff>485775</xdr:colOff>
      <xdr:row>0</xdr:row>
      <xdr:rowOff>0</xdr:rowOff>
    </xdr:to>
    <xdr:sp>
      <xdr:nvSpPr>
        <xdr:cNvPr id="22" name="Line 21"/>
        <xdr:cNvSpPr>
          <a:spLocks/>
        </xdr:cNvSpPr>
      </xdr:nvSpPr>
      <xdr:spPr>
        <a:xfrm>
          <a:off x="8629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0</xdr:row>
      <xdr:rowOff>0</xdr:rowOff>
    </xdr:from>
    <xdr:to>
      <xdr:col>11</xdr:col>
      <xdr:colOff>0</xdr:colOff>
      <xdr:row>0</xdr:row>
      <xdr:rowOff>0</xdr:rowOff>
    </xdr:to>
    <xdr:sp>
      <xdr:nvSpPr>
        <xdr:cNvPr id="23" name="Line 22"/>
        <xdr:cNvSpPr>
          <a:spLocks/>
        </xdr:cNvSpPr>
      </xdr:nvSpPr>
      <xdr:spPr>
        <a:xfrm>
          <a:off x="8753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0</xdr:row>
      <xdr:rowOff>0</xdr:rowOff>
    </xdr:from>
    <xdr:to>
      <xdr:col>11</xdr:col>
      <xdr:colOff>485775</xdr:colOff>
      <xdr:row>0</xdr:row>
      <xdr:rowOff>0</xdr:rowOff>
    </xdr:to>
    <xdr:sp>
      <xdr:nvSpPr>
        <xdr:cNvPr id="24" name="TextBox 48"/>
        <xdr:cNvSpPr txBox="1">
          <a:spLocks noChangeArrowheads="1"/>
        </xdr:cNvSpPr>
      </xdr:nvSpPr>
      <xdr:spPr>
        <a:xfrm>
          <a:off x="7010400" y="0"/>
          <a:ext cx="22288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VALUE PROFILE (&amp; CHART)
</a:t>
          </a:r>
          <a:r>
            <a:rPr lang="en-US" cap="none" sz="900" b="0" i="0" u="none" baseline="0">
              <a:latin typeface="Arial"/>
              <a:ea typeface="Arial"/>
              <a:cs typeface="Arial"/>
            </a:rPr>
            <a:t>(Page 3)</a:t>
          </a:r>
        </a:p>
      </xdr:txBody>
    </xdr:sp>
    <xdr:clientData/>
  </xdr:twoCellAnchor>
  <xdr:twoCellAnchor>
    <xdr:from>
      <xdr:col>10</xdr:col>
      <xdr:colOff>466725</xdr:colOff>
      <xdr:row>0</xdr:row>
      <xdr:rowOff>0</xdr:rowOff>
    </xdr:from>
    <xdr:to>
      <xdr:col>11</xdr:col>
      <xdr:colOff>428625</xdr:colOff>
      <xdr:row>0</xdr:row>
      <xdr:rowOff>0</xdr:rowOff>
    </xdr:to>
    <xdr:sp>
      <xdr:nvSpPr>
        <xdr:cNvPr id="25" name="AutoShape 49"/>
        <xdr:cNvSpPr>
          <a:spLocks/>
        </xdr:cNvSpPr>
      </xdr:nvSpPr>
      <xdr:spPr>
        <a:xfrm>
          <a:off x="8610600" y="0"/>
          <a:ext cx="571500" cy="0"/>
        </a:xfrm>
        <a:prstGeom prst="curvedConnector3">
          <a:avLst>
            <a:gd name="adj1" fmla="val 0"/>
            <a:gd name="adj2" fmla="val -1567648"/>
            <a:gd name="adj3" fmla="val -1425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4</xdr:col>
      <xdr:colOff>561975</xdr:colOff>
      <xdr:row>0</xdr:row>
      <xdr:rowOff>0</xdr:rowOff>
    </xdr:to>
    <xdr:graphicFrame>
      <xdr:nvGraphicFramePr>
        <xdr:cNvPr id="26" name="Chart 50"/>
        <xdr:cNvGraphicFramePr/>
      </xdr:nvGraphicFramePr>
      <xdr:xfrm>
        <a:off x="590550" y="0"/>
        <a:ext cx="4191000" cy="0"/>
      </xdr:xfrm>
      <a:graphic>
        <a:graphicData uri="http://schemas.openxmlformats.org/drawingml/2006/chart">
          <c:chart xmlns:c="http://schemas.openxmlformats.org/drawingml/2006/chart" r:id="rId3"/>
        </a:graphicData>
      </a:graphic>
    </xdr:graphicFrame>
    <xdr:clientData/>
  </xdr:twoCellAnchor>
  <xdr:twoCellAnchor>
    <xdr:from>
      <xdr:col>3</xdr:col>
      <xdr:colOff>676275</xdr:colOff>
      <xdr:row>0</xdr:row>
      <xdr:rowOff>0</xdr:rowOff>
    </xdr:from>
    <xdr:to>
      <xdr:col>3</xdr:col>
      <xdr:colOff>1885950</xdr:colOff>
      <xdr:row>0</xdr:row>
      <xdr:rowOff>0</xdr:rowOff>
    </xdr:to>
    <xdr:sp>
      <xdr:nvSpPr>
        <xdr:cNvPr id="27" name="TextBox 51"/>
        <xdr:cNvSpPr txBox="1">
          <a:spLocks noChangeArrowheads="1"/>
        </xdr:cNvSpPr>
      </xdr:nvSpPr>
      <xdr:spPr>
        <a:xfrm>
          <a:off x="1847850" y="0"/>
          <a:ext cx="1209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Valuation During Development Stages</a:t>
          </a:r>
        </a:p>
      </xdr:txBody>
    </xdr:sp>
    <xdr:clientData/>
  </xdr:twoCellAnchor>
  <xdr:twoCellAnchor>
    <xdr:from>
      <xdr:col>3</xdr:col>
      <xdr:colOff>2695575</xdr:colOff>
      <xdr:row>0</xdr:row>
      <xdr:rowOff>0</xdr:rowOff>
    </xdr:from>
    <xdr:to>
      <xdr:col>4</xdr:col>
      <xdr:colOff>638175</xdr:colOff>
      <xdr:row>0</xdr:row>
      <xdr:rowOff>0</xdr:rowOff>
    </xdr:to>
    <xdr:sp>
      <xdr:nvSpPr>
        <xdr:cNvPr id="28" name="TextBox 52"/>
        <xdr:cNvSpPr txBox="1">
          <a:spLocks noChangeArrowheads="1"/>
        </xdr:cNvSpPr>
      </xdr:nvSpPr>
      <xdr:spPr>
        <a:xfrm>
          <a:off x="3867150" y="0"/>
          <a:ext cx="9906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Valuation During Revenue Stages</a:t>
          </a:r>
        </a:p>
      </xdr:txBody>
    </xdr:sp>
    <xdr:clientData/>
  </xdr:twoCellAnchor>
  <xdr:twoCellAnchor>
    <xdr:from>
      <xdr:col>7</xdr:col>
      <xdr:colOff>257175</xdr:colOff>
      <xdr:row>0</xdr:row>
      <xdr:rowOff>0</xdr:rowOff>
    </xdr:from>
    <xdr:to>
      <xdr:col>11</xdr:col>
      <xdr:colOff>66675</xdr:colOff>
      <xdr:row>0</xdr:row>
      <xdr:rowOff>0</xdr:rowOff>
    </xdr:to>
    <xdr:sp>
      <xdr:nvSpPr>
        <xdr:cNvPr id="29" name="TextBox 53"/>
        <xdr:cNvSpPr txBox="1">
          <a:spLocks noChangeArrowheads="1"/>
        </xdr:cNvSpPr>
      </xdr:nvSpPr>
      <xdr:spPr>
        <a:xfrm>
          <a:off x="6572250" y="0"/>
          <a:ext cx="22479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CONTRIBUTION MARGIN - DCF
</a:t>
          </a:r>
          <a:r>
            <a:rPr lang="en-US" cap="none" sz="900" b="0" i="0" u="none" baseline="0">
              <a:latin typeface="Arial"/>
              <a:ea typeface="Arial"/>
              <a:cs typeface="Arial"/>
            </a:rPr>
            <a:t>(Page 2)</a:t>
          </a:r>
        </a:p>
      </xdr:txBody>
    </xdr:sp>
    <xdr:clientData/>
  </xdr:twoCellAnchor>
  <xdr:twoCellAnchor>
    <xdr:from>
      <xdr:col>6</xdr:col>
      <xdr:colOff>466725</xdr:colOff>
      <xdr:row>0</xdr:row>
      <xdr:rowOff>0</xdr:rowOff>
    </xdr:from>
    <xdr:to>
      <xdr:col>10</xdr:col>
      <xdr:colOff>371475</xdr:colOff>
      <xdr:row>0</xdr:row>
      <xdr:rowOff>0</xdr:rowOff>
    </xdr:to>
    <xdr:sp>
      <xdr:nvSpPr>
        <xdr:cNvPr id="30" name="TextBox 54"/>
        <xdr:cNvSpPr txBox="1">
          <a:spLocks noChangeArrowheads="1"/>
        </xdr:cNvSpPr>
      </xdr:nvSpPr>
      <xdr:spPr>
        <a:xfrm>
          <a:off x="6172200" y="0"/>
          <a:ext cx="2343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MODEL ASSUMPTIONS 
</a:t>
          </a:r>
          <a:r>
            <a:rPr lang="en-US" cap="none" sz="900" b="0" i="0" u="none" baseline="0">
              <a:latin typeface="Arial"/>
              <a:ea typeface="Arial"/>
              <a:cs typeface="Arial"/>
            </a:rPr>
            <a:t>(Page 1)
                                     1  2  3  4  5  6  7  8  9  </a:t>
          </a:r>
        </a:p>
      </xdr:txBody>
    </xdr:sp>
    <xdr:clientData/>
  </xdr:twoCellAnchor>
  <xdr:twoCellAnchor>
    <xdr:from>
      <xdr:col>7</xdr:col>
      <xdr:colOff>200025</xdr:colOff>
      <xdr:row>0</xdr:row>
      <xdr:rowOff>0</xdr:rowOff>
    </xdr:from>
    <xdr:to>
      <xdr:col>10</xdr:col>
      <xdr:colOff>19050</xdr:colOff>
      <xdr:row>0</xdr:row>
      <xdr:rowOff>0</xdr:rowOff>
    </xdr:to>
    <xdr:sp>
      <xdr:nvSpPr>
        <xdr:cNvPr id="31" name="Line 55"/>
        <xdr:cNvSpPr>
          <a:spLocks/>
        </xdr:cNvSpPr>
      </xdr:nvSpPr>
      <xdr:spPr>
        <a:xfrm>
          <a:off x="6515100" y="0"/>
          <a:ext cx="164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0</xdr:row>
      <xdr:rowOff>0</xdr:rowOff>
    </xdr:from>
    <xdr:to>
      <xdr:col>7</xdr:col>
      <xdr:colOff>200025</xdr:colOff>
      <xdr:row>0</xdr:row>
      <xdr:rowOff>0</xdr:rowOff>
    </xdr:to>
    <xdr:sp>
      <xdr:nvSpPr>
        <xdr:cNvPr id="32" name="Line 56"/>
        <xdr:cNvSpPr>
          <a:spLocks/>
        </xdr:cNvSpPr>
      </xdr:nvSpPr>
      <xdr:spPr>
        <a:xfrm>
          <a:off x="651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0</xdr:row>
      <xdr:rowOff>0</xdr:rowOff>
    </xdr:from>
    <xdr:to>
      <xdr:col>10</xdr:col>
      <xdr:colOff>0</xdr:colOff>
      <xdr:row>0</xdr:row>
      <xdr:rowOff>0</xdr:rowOff>
    </xdr:to>
    <xdr:sp>
      <xdr:nvSpPr>
        <xdr:cNvPr id="33" name="Line 57"/>
        <xdr:cNvSpPr>
          <a:spLocks/>
        </xdr:cNvSpPr>
      </xdr:nvSpPr>
      <xdr:spPr>
        <a:xfrm>
          <a:off x="6515100" y="0"/>
          <a:ext cx="1628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0</xdr:row>
      <xdr:rowOff>0</xdr:rowOff>
    </xdr:from>
    <xdr:to>
      <xdr:col>10</xdr:col>
      <xdr:colOff>19050</xdr:colOff>
      <xdr:row>0</xdr:row>
      <xdr:rowOff>0</xdr:rowOff>
    </xdr:to>
    <xdr:sp>
      <xdr:nvSpPr>
        <xdr:cNvPr id="34" name="Line 58"/>
        <xdr:cNvSpPr>
          <a:spLocks/>
        </xdr:cNvSpPr>
      </xdr:nvSpPr>
      <xdr:spPr>
        <a:xfrm>
          <a:off x="6534150" y="0"/>
          <a:ext cx="1628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0</xdr:row>
      <xdr:rowOff>0</xdr:rowOff>
    </xdr:from>
    <xdr:to>
      <xdr:col>8</xdr:col>
      <xdr:colOff>142875</xdr:colOff>
      <xdr:row>0</xdr:row>
      <xdr:rowOff>0</xdr:rowOff>
    </xdr:to>
    <xdr:sp>
      <xdr:nvSpPr>
        <xdr:cNvPr id="35" name="Line 59"/>
        <xdr:cNvSpPr>
          <a:spLocks/>
        </xdr:cNvSpPr>
      </xdr:nvSpPr>
      <xdr:spPr>
        <a:xfrm>
          <a:off x="70675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0</xdr:row>
      <xdr:rowOff>0</xdr:rowOff>
    </xdr:from>
    <xdr:to>
      <xdr:col>8</xdr:col>
      <xdr:colOff>371475</xdr:colOff>
      <xdr:row>0</xdr:row>
      <xdr:rowOff>0</xdr:rowOff>
    </xdr:to>
    <xdr:sp>
      <xdr:nvSpPr>
        <xdr:cNvPr id="36" name="Line 60"/>
        <xdr:cNvSpPr>
          <a:spLocks/>
        </xdr:cNvSpPr>
      </xdr:nvSpPr>
      <xdr:spPr>
        <a:xfrm>
          <a:off x="7296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485775</xdr:colOff>
      <xdr:row>0</xdr:row>
      <xdr:rowOff>0</xdr:rowOff>
    </xdr:from>
    <xdr:to>
      <xdr:col>8</xdr:col>
      <xdr:colOff>485775</xdr:colOff>
      <xdr:row>0</xdr:row>
      <xdr:rowOff>0</xdr:rowOff>
    </xdr:to>
    <xdr:sp>
      <xdr:nvSpPr>
        <xdr:cNvPr id="37" name="Line 61"/>
        <xdr:cNvSpPr>
          <a:spLocks/>
        </xdr:cNvSpPr>
      </xdr:nvSpPr>
      <xdr:spPr>
        <a:xfrm>
          <a:off x="7410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600075</xdr:colOff>
      <xdr:row>0</xdr:row>
      <xdr:rowOff>0</xdr:rowOff>
    </xdr:from>
    <xdr:to>
      <xdr:col>8</xdr:col>
      <xdr:colOff>600075</xdr:colOff>
      <xdr:row>0</xdr:row>
      <xdr:rowOff>0</xdr:rowOff>
    </xdr:to>
    <xdr:sp>
      <xdr:nvSpPr>
        <xdr:cNvPr id="38" name="Line 62"/>
        <xdr:cNvSpPr>
          <a:spLocks/>
        </xdr:cNvSpPr>
      </xdr:nvSpPr>
      <xdr:spPr>
        <a:xfrm>
          <a:off x="7524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219075</xdr:colOff>
      <xdr:row>0</xdr:row>
      <xdr:rowOff>0</xdr:rowOff>
    </xdr:from>
    <xdr:to>
      <xdr:col>9</xdr:col>
      <xdr:colOff>219075</xdr:colOff>
      <xdr:row>0</xdr:row>
      <xdr:rowOff>0</xdr:rowOff>
    </xdr:to>
    <xdr:sp>
      <xdr:nvSpPr>
        <xdr:cNvPr id="39" name="Line 63"/>
        <xdr:cNvSpPr>
          <a:spLocks/>
        </xdr:cNvSpPr>
      </xdr:nvSpPr>
      <xdr:spPr>
        <a:xfrm>
          <a:off x="7753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0</xdr:row>
      <xdr:rowOff>0</xdr:rowOff>
    </xdr:from>
    <xdr:to>
      <xdr:col>9</xdr:col>
      <xdr:colOff>104775</xdr:colOff>
      <xdr:row>0</xdr:row>
      <xdr:rowOff>0</xdr:rowOff>
    </xdr:to>
    <xdr:sp>
      <xdr:nvSpPr>
        <xdr:cNvPr id="40" name="Line 64"/>
        <xdr:cNvSpPr>
          <a:spLocks/>
        </xdr:cNvSpPr>
      </xdr:nvSpPr>
      <xdr:spPr>
        <a:xfrm>
          <a:off x="7639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0</xdr:row>
      <xdr:rowOff>0</xdr:rowOff>
    </xdr:from>
    <xdr:to>
      <xdr:col>9</xdr:col>
      <xdr:colOff>352425</xdr:colOff>
      <xdr:row>0</xdr:row>
      <xdr:rowOff>0</xdr:rowOff>
    </xdr:to>
    <xdr:sp>
      <xdr:nvSpPr>
        <xdr:cNvPr id="41" name="Line 65"/>
        <xdr:cNvSpPr>
          <a:spLocks/>
        </xdr:cNvSpPr>
      </xdr:nvSpPr>
      <xdr:spPr>
        <a:xfrm>
          <a:off x="7886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0</xdr:row>
      <xdr:rowOff>0</xdr:rowOff>
    </xdr:from>
    <xdr:to>
      <xdr:col>8</xdr:col>
      <xdr:colOff>257175</xdr:colOff>
      <xdr:row>0</xdr:row>
      <xdr:rowOff>0</xdr:rowOff>
    </xdr:to>
    <xdr:sp>
      <xdr:nvSpPr>
        <xdr:cNvPr id="42" name="Line 66"/>
        <xdr:cNvSpPr>
          <a:spLocks/>
        </xdr:cNvSpPr>
      </xdr:nvSpPr>
      <xdr:spPr>
        <a:xfrm>
          <a:off x="7181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0</xdr:row>
      <xdr:rowOff>0</xdr:rowOff>
    </xdr:from>
    <xdr:to>
      <xdr:col>9</xdr:col>
      <xdr:colOff>485775</xdr:colOff>
      <xdr:row>0</xdr:row>
      <xdr:rowOff>0</xdr:rowOff>
    </xdr:to>
    <xdr:sp>
      <xdr:nvSpPr>
        <xdr:cNvPr id="43" name="Line 67"/>
        <xdr:cNvSpPr>
          <a:spLocks/>
        </xdr:cNvSpPr>
      </xdr:nvSpPr>
      <xdr:spPr>
        <a:xfrm>
          <a:off x="8020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44" name="Line 68"/>
        <xdr:cNvSpPr>
          <a:spLocks/>
        </xdr:cNvSpPr>
      </xdr:nvSpPr>
      <xdr:spPr>
        <a:xfrm>
          <a:off x="8143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1114425</xdr:colOff>
      <xdr:row>42</xdr:row>
      <xdr:rowOff>123825</xdr:rowOff>
    </xdr:from>
    <xdr:to>
      <xdr:col>4</xdr:col>
      <xdr:colOff>428625</xdr:colOff>
      <xdr:row>47</xdr:row>
      <xdr:rowOff>85725</xdr:rowOff>
    </xdr:to>
    <xdr:sp>
      <xdr:nvSpPr>
        <xdr:cNvPr id="45" name="TextBox 102"/>
        <xdr:cNvSpPr txBox="1">
          <a:spLocks noChangeArrowheads="1"/>
        </xdr:cNvSpPr>
      </xdr:nvSpPr>
      <xdr:spPr>
        <a:xfrm>
          <a:off x="2286000" y="7019925"/>
          <a:ext cx="236220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VALUE PROFILE - rNPV      </a:t>
          </a:r>
          <a:r>
            <a:rPr lang="en-US" cap="none" sz="1000" b="0" i="0" u="none" baseline="0">
              <a:latin typeface="Arial"/>
              <a:ea typeface="Arial"/>
              <a:cs typeface="Arial"/>
            </a:rPr>
            <a:t>(</a:t>
          </a:r>
          <a:r>
            <a:rPr lang="en-US" cap="none" sz="900" b="0" i="0" u="none" baseline="0">
              <a:latin typeface="Arial"/>
              <a:ea typeface="Arial"/>
              <a:cs typeface="Arial"/>
            </a:rPr>
            <a:t>Page 5)</a:t>
          </a:r>
          <a:r>
            <a:rPr lang="en-US" cap="none" sz="1000" b="1" i="0" u="none" baseline="0">
              <a:latin typeface="Arial"/>
              <a:ea typeface="Arial"/>
              <a:cs typeface="Arial"/>
            </a:rPr>
            <a:t>
</a:t>
          </a:r>
        </a:p>
      </xdr:txBody>
    </xdr:sp>
    <xdr:clientData/>
  </xdr:twoCellAnchor>
  <xdr:twoCellAnchor>
    <xdr:from>
      <xdr:col>3</xdr:col>
      <xdr:colOff>600075</xdr:colOff>
      <xdr:row>44</xdr:row>
      <xdr:rowOff>0</xdr:rowOff>
    </xdr:from>
    <xdr:to>
      <xdr:col>4</xdr:col>
      <xdr:colOff>333375</xdr:colOff>
      <xdr:row>48</xdr:row>
      <xdr:rowOff>123825</xdr:rowOff>
    </xdr:to>
    <xdr:sp>
      <xdr:nvSpPr>
        <xdr:cNvPr id="46" name="TextBox 75"/>
        <xdr:cNvSpPr txBox="1">
          <a:spLocks noChangeArrowheads="1"/>
        </xdr:cNvSpPr>
      </xdr:nvSpPr>
      <xdr:spPr>
        <a:xfrm>
          <a:off x="1771650" y="7219950"/>
          <a:ext cx="278130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CONTRIBUTION MARGIN - NPV </a:t>
          </a:r>
          <a:r>
            <a:rPr lang="en-US" cap="none" sz="1000" b="0" i="0" u="none" baseline="0">
              <a:latin typeface="Arial"/>
              <a:ea typeface="Arial"/>
              <a:cs typeface="Arial"/>
            </a:rPr>
            <a:t>(</a:t>
          </a:r>
          <a:r>
            <a:rPr lang="en-US" cap="none" sz="900" b="0" i="0" u="none" baseline="0">
              <a:latin typeface="Arial"/>
              <a:ea typeface="Arial"/>
              <a:cs typeface="Arial"/>
            </a:rPr>
            <a:t>Page 4)</a:t>
          </a:r>
          <a:r>
            <a:rPr lang="en-US" cap="none" sz="1000" b="1" i="0" u="none" baseline="0">
              <a:latin typeface="Arial"/>
              <a:ea typeface="Arial"/>
              <a:cs typeface="Arial"/>
            </a:rPr>
            <a:t>
</a:t>
          </a:r>
        </a:p>
      </xdr:txBody>
    </xdr:sp>
    <xdr:clientData/>
  </xdr:twoCellAnchor>
  <xdr:twoCellAnchor>
    <xdr:from>
      <xdr:col>7</xdr:col>
      <xdr:colOff>323850</xdr:colOff>
      <xdr:row>47</xdr:row>
      <xdr:rowOff>57150</xdr:rowOff>
    </xdr:from>
    <xdr:to>
      <xdr:col>7</xdr:col>
      <xdr:colOff>390525</xdr:colOff>
      <xdr:row>49</xdr:row>
      <xdr:rowOff>95250</xdr:rowOff>
    </xdr:to>
    <xdr:sp>
      <xdr:nvSpPr>
        <xdr:cNvPr id="47" name="Line 124"/>
        <xdr:cNvSpPr>
          <a:spLocks/>
        </xdr:cNvSpPr>
      </xdr:nvSpPr>
      <xdr:spPr>
        <a:xfrm flipV="1">
          <a:off x="6638925" y="7762875"/>
          <a:ext cx="6667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46</xdr:row>
      <xdr:rowOff>104775</xdr:rowOff>
    </xdr:from>
    <xdr:to>
      <xdr:col>8</xdr:col>
      <xdr:colOff>38100</xdr:colOff>
      <xdr:row>49</xdr:row>
      <xdr:rowOff>95250</xdr:rowOff>
    </xdr:to>
    <xdr:sp>
      <xdr:nvSpPr>
        <xdr:cNvPr id="48" name="Line 125"/>
        <xdr:cNvSpPr>
          <a:spLocks/>
        </xdr:cNvSpPr>
      </xdr:nvSpPr>
      <xdr:spPr>
        <a:xfrm flipV="1">
          <a:off x="6648450" y="7648575"/>
          <a:ext cx="31432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333375</xdr:colOff>
      <xdr:row>41</xdr:row>
      <xdr:rowOff>142875</xdr:rowOff>
    </xdr:from>
    <xdr:to>
      <xdr:col>11</xdr:col>
      <xdr:colOff>1457325</xdr:colOff>
      <xdr:row>45</xdr:row>
      <xdr:rowOff>19050</xdr:rowOff>
    </xdr:to>
    <xdr:sp>
      <xdr:nvSpPr>
        <xdr:cNvPr id="49" name="TextBox 74"/>
        <xdr:cNvSpPr txBox="1">
          <a:spLocks noChangeArrowheads="1"/>
        </xdr:cNvSpPr>
      </xdr:nvSpPr>
      <xdr:spPr>
        <a:xfrm>
          <a:off x="9086850" y="6877050"/>
          <a:ext cx="11239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rNPV Gradually Wanes During Revenue Stages</a:t>
          </a:r>
        </a:p>
      </xdr:txBody>
    </xdr:sp>
    <xdr:clientData/>
  </xdr:twoCellAnchor>
  <xdr:twoCellAnchor>
    <xdr:from>
      <xdr:col>7</xdr:col>
      <xdr:colOff>342900</xdr:colOff>
      <xdr:row>46</xdr:row>
      <xdr:rowOff>28575</xdr:rowOff>
    </xdr:from>
    <xdr:to>
      <xdr:col>8</xdr:col>
      <xdr:colOff>295275</xdr:colOff>
      <xdr:row>49</xdr:row>
      <xdr:rowOff>95250</xdr:rowOff>
    </xdr:to>
    <xdr:sp>
      <xdr:nvSpPr>
        <xdr:cNvPr id="50" name="Line 126"/>
        <xdr:cNvSpPr>
          <a:spLocks/>
        </xdr:cNvSpPr>
      </xdr:nvSpPr>
      <xdr:spPr>
        <a:xfrm flipV="1">
          <a:off x="6657975" y="7572375"/>
          <a:ext cx="5619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42</xdr:row>
      <xdr:rowOff>57150</xdr:rowOff>
    </xdr:from>
    <xdr:to>
      <xdr:col>5</xdr:col>
      <xdr:colOff>247650</xdr:colOff>
      <xdr:row>43</xdr:row>
      <xdr:rowOff>28575</xdr:rowOff>
    </xdr:to>
    <xdr:sp>
      <xdr:nvSpPr>
        <xdr:cNvPr id="51" name="Line 130"/>
        <xdr:cNvSpPr>
          <a:spLocks/>
        </xdr:cNvSpPr>
      </xdr:nvSpPr>
      <xdr:spPr>
        <a:xfrm flipH="1">
          <a:off x="4667250" y="6953250"/>
          <a:ext cx="5429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42</xdr:row>
      <xdr:rowOff>57150</xdr:rowOff>
    </xdr:from>
    <xdr:to>
      <xdr:col>6</xdr:col>
      <xdr:colOff>266700</xdr:colOff>
      <xdr:row>44</xdr:row>
      <xdr:rowOff>0</xdr:rowOff>
    </xdr:to>
    <xdr:sp>
      <xdr:nvSpPr>
        <xdr:cNvPr id="52" name="Line 131"/>
        <xdr:cNvSpPr>
          <a:spLocks/>
        </xdr:cNvSpPr>
      </xdr:nvSpPr>
      <xdr:spPr>
        <a:xfrm>
          <a:off x="5210175" y="6953250"/>
          <a:ext cx="7620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533400</xdr:colOff>
      <xdr:row>42</xdr:row>
      <xdr:rowOff>76200</xdr:rowOff>
    </xdr:from>
    <xdr:to>
      <xdr:col>10</xdr:col>
      <xdr:colOff>523875</xdr:colOff>
      <xdr:row>43</xdr:row>
      <xdr:rowOff>133350</xdr:rowOff>
    </xdr:to>
    <xdr:sp>
      <xdr:nvSpPr>
        <xdr:cNvPr id="53" name="TextBox 146"/>
        <xdr:cNvSpPr txBox="1">
          <a:spLocks noChangeArrowheads="1"/>
        </xdr:cNvSpPr>
      </xdr:nvSpPr>
      <xdr:spPr>
        <a:xfrm>
          <a:off x="8067675" y="6972300"/>
          <a:ext cx="600075"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(Page 6)</a:t>
          </a:r>
        </a:p>
      </xdr:txBody>
    </xdr:sp>
    <xdr:clientData/>
  </xdr:twoCellAnchor>
  <xdr:twoCellAnchor>
    <xdr:from>
      <xdr:col>3</xdr:col>
      <xdr:colOff>371475</xdr:colOff>
      <xdr:row>45</xdr:row>
      <xdr:rowOff>57150</xdr:rowOff>
    </xdr:from>
    <xdr:to>
      <xdr:col>3</xdr:col>
      <xdr:colOff>2962275</xdr:colOff>
      <xdr:row>50</xdr:row>
      <xdr:rowOff>19050</xdr:rowOff>
    </xdr:to>
    <xdr:sp>
      <xdr:nvSpPr>
        <xdr:cNvPr id="54" name="TextBox 155"/>
        <xdr:cNvSpPr txBox="1">
          <a:spLocks noChangeArrowheads="1"/>
        </xdr:cNvSpPr>
      </xdr:nvSpPr>
      <xdr:spPr>
        <a:xfrm>
          <a:off x="1543050" y="7439025"/>
          <a:ext cx="259080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REVENUE FORECAST - PV     </a:t>
          </a:r>
          <a:r>
            <a:rPr lang="en-US" cap="none" sz="1000" b="0" i="0" u="none" baseline="0">
              <a:latin typeface="Arial"/>
              <a:ea typeface="Arial"/>
              <a:cs typeface="Arial"/>
            </a:rPr>
            <a:t>(Page 3) </a:t>
          </a:r>
          <a:r>
            <a:rPr lang="en-US" cap="none" sz="1000" b="1" i="0" u="none" baseline="0">
              <a:latin typeface="Arial"/>
              <a:ea typeface="Arial"/>
              <a:cs typeface="Arial"/>
            </a:rPr>
            <a:t> </a:t>
          </a:r>
        </a:p>
      </xdr:txBody>
    </xdr:sp>
    <xdr:clientData/>
  </xdr:twoCellAnchor>
  <xdr:twoCellAnchor>
    <xdr:from>
      <xdr:col>3</xdr:col>
      <xdr:colOff>9525</xdr:colOff>
      <xdr:row>46</xdr:row>
      <xdr:rowOff>85725</xdr:rowOff>
    </xdr:from>
    <xdr:to>
      <xdr:col>3</xdr:col>
      <xdr:colOff>2533650</xdr:colOff>
      <xdr:row>50</xdr:row>
      <xdr:rowOff>104775</xdr:rowOff>
    </xdr:to>
    <xdr:sp>
      <xdr:nvSpPr>
        <xdr:cNvPr id="55" name="TextBox 156"/>
        <xdr:cNvSpPr txBox="1">
          <a:spLocks noChangeArrowheads="1"/>
        </xdr:cNvSpPr>
      </xdr:nvSpPr>
      <xdr:spPr>
        <a:xfrm>
          <a:off x="1181100" y="7629525"/>
          <a:ext cx="252412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MODEL ASSUMPTIONS -</a:t>
          </a:r>
          <a:r>
            <a:rPr lang="en-US" cap="none" sz="1000" b="0" i="0" u="none" baseline="0">
              <a:latin typeface="Arial"/>
              <a:ea typeface="Arial"/>
              <a:cs typeface="Arial"/>
            </a:rPr>
            <a:t>            (Page 2) </a:t>
          </a:r>
          <a:r>
            <a:rPr lang="en-US" cap="none" sz="1000" b="1" i="0" u="none" baseline="0">
              <a:latin typeface="Arial"/>
              <a:ea typeface="Arial"/>
              <a:cs typeface="Arial"/>
            </a:rPr>
            <a:t> </a:t>
          </a:r>
        </a:p>
      </xdr:txBody>
    </xdr:sp>
    <xdr:clientData/>
  </xdr:twoCellAnchor>
  <xdr:twoCellAnchor>
    <xdr:from>
      <xdr:col>3</xdr:col>
      <xdr:colOff>2524125</xdr:colOff>
      <xdr:row>42</xdr:row>
      <xdr:rowOff>66675</xdr:rowOff>
    </xdr:from>
    <xdr:to>
      <xdr:col>5</xdr:col>
      <xdr:colOff>219075</xdr:colOff>
      <xdr:row>49</xdr:row>
      <xdr:rowOff>28575</xdr:rowOff>
    </xdr:to>
    <xdr:sp>
      <xdr:nvSpPr>
        <xdr:cNvPr id="56" name="Line 157"/>
        <xdr:cNvSpPr>
          <a:spLocks/>
        </xdr:cNvSpPr>
      </xdr:nvSpPr>
      <xdr:spPr>
        <a:xfrm flipH="1">
          <a:off x="3695700" y="6962775"/>
          <a:ext cx="1485900" cy="1095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2962275</xdr:colOff>
      <xdr:row>42</xdr:row>
      <xdr:rowOff>66675</xdr:rowOff>
    </xdr:from>
    <xdr:to>
      <xdr:col>5</xdr:col>
      <xdr:colOff>228600</xdr:colOff>
      <xdr:row>46</xdr:row>
      <xdr:rowOff>28575</xdr:rowOff>
    </xdr:to>
    <xdr:sp>
      <xdr:nvSpPr>
        <xdr:cNvPr id="57" name="Line 128"/>
        <xdr:cNvSpPr>
          <a:spLocks/>
        </xdr:cNvSpPr>
      </xdr:nvSpPr>
      <xdr:spPr>
        <a:xfrm flipH="1">
          <a:off x="4133850" y="6962775"/>
          <a:ext cx="105727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42</xdr:row>
      <xdr:rowOff>66675</xdr:rowOff>
    </xdr:from>
    <xdr:to>
      <xdr:col>5</xdr:col>
      <xdr:colOff>219075</xdr:colOff>
      <xdr:row>44</xdr:row>
      <xdr:rowOff>38100</xdr:rowOff>
    </xdr:to>
    <xdr:sp>
      <xdr:nvSpPr>
        <xdr:cNvPr id="58" name="Line 129"/>
        <xdr:cNvSpPr>
          <a:spLocks/>
        </xdr:cNvSpPr>
      </xdr:nvSpPr>
      <xdr:spPr>
        <a:xfrm flipH="1">
          <a:off x="4533900" y="6962775"/>
          <a:ext cx="64770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49</xdr:row>
      <xdr:rowOff>104775</xdr:rowOff>
    </xdr:from>
    <xdr:to>
      <xdr:col>11</xdr:col>
      <xdr:colOff>219075</xdr:colOff>
      <xdr:row>50</xdr:row>
      <xdr:rowOff>133350</xdr:rowOff>
    </xdr:to>
    <xdr:sp>
      <xdr:nvSpPr>
        <xdr:cNvPr id="59" name="TextBox 127"/>
        <xdr:cNvSpPr txBox="1">
          <a:spLocks noChangeArrowheads="1"/>
        </xdr:cNvSpPr>
      </xdr:nvSpPr>
      <xdr:spPr>
        <a:xfrm>
          <a:off x="7953375" y="8134350"/>
          <a:ext cx="10191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Revenue Begins
</a:t>
          </a:r>
        </a:p>
      </xdr:txBody>
    </xdr:sp>
    <xdr:clientData/>
  </xdr:twoCellAnchor>
  <xdr:twoCellAnchor>
    <xdr:from>
      <xdr:col>5</xdr:col>
      <xdr:colOff>247650</xdr:colOff>
      <xdr:row>49</xdr:row>
      <xdr:rowOff>95250</xdr:rowOff>
    </xdr:from>
    <xdr:to>
      <xdr:col>7</xdr:col>
      <xdr:colOff>438150</xdr:colOff>
      <xdr:row>50</xdr:row>
      <xdr:rowOff>123825</xdr:rowOff>
    </xdr:to>
    <xdr:sp>
      <xdr:nvSpPr>
        <xdr:cNvPr id="60" name="TextBox 73"/>
        <xdr:cNvSpPr txBox="1">
          <a:spLocks noChangeArrowheads="1"/>
        </xdr:cNvSpPr>
      </xdr:nvSpPr>
      <xdr:spPr>
        <a:xfrm>
          <a:off x="5210175" y="8124825"/>
          <a:ext cx="15430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rNPV Builds During R&amp;D</a:t>
          </a:r>
        </a:p>
      </xdr:txBody>
    </xdr:sp>
    <xdr:clientData/>
  </xdr:twoCellAnchor>
  <xdr:twoCellAnchor>
    <xdr:from>
      <xdr:col>9</xdr:col>
      <xdr:colOff>219075</xdr:colOff>
      <xdr:row>42</xdr:row>
      <xdr:rowOff>76200</xdr:rowOff>
    </xdr:from>
    <xdr:to>
      <xdr:col>11</xdr:col>
      <xdr:colOff>352425</xdr:colOff>
      <xdr:row>46</xdr:row>
      <xdr:rowOff>0</xdr:rowOff>
    </xdr:to>
    <xdr:sp>
      <xdr:nvSpPr>
        <xdr:cNvPr id="61" name="Line 119"/>
        <xdr:cNvSpPr>
          <a:spLocks/>
        </xdr:cNvSpPr>
      </xdr:nvSpPr>
      <xdr:spPr>
        <a:xfrm flipH="1">
          <a:off x="7753350" y="6972300"/>
          <a:ext cx="1352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42</xdr:row>
      <xdr:rowOff>76200</xdr:rowOff>
    </xdr:from>
    <xdr:to>
      <xdr:col>11</xdr:col>
      <xdr:colOff>342900</xdr:colOff>
      <xdr:row>47</xdr:row>
      <xdr:rowOff>0</xdr:rowOff>
    </xdr:to>
    <xdr:sp>
      <xdr:nvSpPr>
        <xdr:cNvPr id="62" name="Line 121"/>
        <xdr:cNvSpPr>
          <a:spLocks/>
        </xdr:cNvSpPr>
      </xdr:nvSpPr>
      <xdr:spPr>
        <a:xfrm flipH="1">
          <a:off x="8172450" y="6972300"/>
          <a:ext cx="923925"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219075</xdr:colOff>
      <xdr:row>42</xdr:row>
      <xdr:rowOff>76200</xdr:rowOff>
    </xdr:from>
    <xdr:to>
      <xdr:col>11</xdr:col>
      <xdr:colOff>342900</xdr:colOff>
      <xdr:row>47</xdr:row>
      <xdr:rowOff>123825</xdr:rowOff>
    </xdr:to>
    <xdr:sp>
      <xdr:nvSpPr>
        <xdr:cNvPr id="63" name="Line 122"/>
        <xdr:cNvSpPr>
          <a:spLocks/>
        </xdr:cNvSpPr>
      </xdr:nvSpPr>
      <xdr:spPr>
        <a:xfrm flipH="1">
          <a:off x="8362950" y="6972300"/>
          <a:ext cx="73342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485775</xdr:colOff>
      <xdr:row>45</xdr:row>
      <xdr:rowOff>123825</xdr:rowOff>
    </xdr:from>
    <xdr:to>
      <xdr:col>9</xdr:col>
      <xdr:colOff>476250</xdr:colOff>
      <xdr:row>49</xdr:row>
      <xdr:rowOff>104775</xdr:rowOff>
    </xdr:to>
    <xdr:sp>
      <xdr:nvSpPr>
        <xdr:cNvPr id="64" name="Line 132"/>
        <xdr:cNvSpPr>
          <a:spLocks/>
        </xdr:cNvSpPr>
      </xdr:nvSpPr>
      <xdr:spPr>
        <a:xfrm flipH="1" flipV="1">
          <a:off x="7410450" y="7505700"/>
          <a:ext cx="60007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pokane\company\windows\TEMP\2.0%20Valuation%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Executive Summary"/>
      <sheetName val="Analysis"/>
      <sheetName val="Anyth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3.vml" /><Relationship Id="rId5" Type="http://schemas.openxmlformats.org/officeDocument/2006/relationships/drawing" Target="../drawings/drawing4.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43"/>
  <sheetViews>
    <sheetView tabSelected="1" zoomScale="75" zoomScaleNormal="75" zoomScaleSheetLayoutView="75" workbookViewId="0" topLeftCell="A1">
      <selection activeCell="D6" sqref="D6"/>
    </sheetView>
  </sheetViews>
  <sheetFormatPr defaultColWidth="9.140625" defaultRowHeight="12.75"/>
  <cols>
    <col min="1" max="1" width="26.00390625" style="8" customWidth="1"/>
    <col min="2" max="3" width="9.140625" style="8" customWidth="1"/>
    <col min="4" max="4" width="12.8515625" style="8" customWidth="1"/>
    <col min="5" max="5" width="9.140625" style="8" customWidth="1"/>
    <col min="6" max="6" width="9.421875" style="8" customWidth="1"/>
    <col min="7" max="8" width="9.140625" style="8" customWidth="1"/>
    <col min="9" max="9" width="4.140625" style="8" customWidth="1"/>
    <col min="10" max="16384" width="9.140625" style="8" customWidth="1"/>
  </cols>
  <sheetData>
    <row r="1" spans="1:20" ht="18.75" customHeight="1">
      <c r="A1" s="237" t="s">
        <v>3</v>
      </c>
      <c r="B1" s="238"/>
      <c r="C1" s="238"/>
      <c r="D1" s="238"/>
      <c r="E1" s="238"/>
      <c r="F1" s="238"/>
      <c r="G1" s="238"/>
      <c r="H1" s="238"/>
      <c r="I1" s="238"/>
      <c r="J1" s="7"/>
      <c r="K1" s="7"/>
      <c r="L1" s="7"/>
      <c r="M1" s="7"/>
      <c r="P1"/>
      <c r="Q1"/>
      <c r="R1"/>
      <c r="S1"/>
      <c r="T1"/>
    </row>
    <row r="2" spans="1:20" ht="18.75" customHeight="1">
      <c r="A2" s="216"/>
      <c r="B2" s="217"/>
      <c r="C2" s="217"/>
      <c r="D2" s="217"/>
      <c r="E2" s="217"/>
      <c r="F2" s="217"/>
      <c r="G2" s="217"/>
      <c r="H2" s="217"/>
      <c r="I2" s="217"/>
      <c r="J2" s="7"/>
      <c r="K2" s="7"/>
      <c r="L2" s="7"/>
      <c r="M2" s="7"/>
      <c r="P2"/>
      <c r="Q2"/>
      <c r="R2"/>
      <c r="S2"/>
      <c r="T2"/>
    </row>
    <row r="3" spans="1:20" ht="18.75" customHeight="1">
      <c r="A3" s="216"/>
      <c r="B3" s="217"/>
      <c r="C3" s="217"/>
      <c r="D3" s="217"/>
      <c r="E3" s="217"/>
      <c r="F3" s="217"/>
      <c r="G3" s="217"/>
      <c r="H3" s="217"/>
      <c r="I3" s="217"/>
      <c r="J3" s="7"/>
      <c r="K3" s="7"/>
      <c r="L3" s="7"/>
      <c r="M3" s="7"/>
      <c r="P3"/>
      <c r="Q3"/>
      <c r="R3"/>
      <c r="S3"/>
      <c r="T3"/>
    </row>
    <row r="4" spans="1:20" ht="18.75" customHeight="1">
      <c r="A4" s="216"/>
      <c r="B4" s="217"/>
      <c r="C4" s="217"/>
      <c r="D4" s="217"/>
      <c r="E4" s="217"/>
      <c r="F4" s="217"/>
      <c r="G4" s="217"/>
      <c r="H4" s="217"/>
      <c r="I4" s="217"/>
      <c r="J4" s="7"/>
      <c r="K4" s="7"/>
      <c r="L4" s="7"/>
      <c r="M4" s="7"/>
      <c r="P4"/>
      <c r="Q4"/>
      <c r="R4"/>
      <c r="S4"/>
      <c r="T4"/>
    </row>
    <row r="5" spans="1:20" ht="18.75" customHeight="1">
      <c r="A5" s="216"/>
      <c r="B5" s="217"/>
      <c r="C5" s="217"/>
      <c r="D5" s="217"/>
      <c r="E5" s="217"/>
      <c r="F5" s="217"/>
      <c r="G5" s="217"/>
      <c r="H5" s="217"/>
      <c r="I5" s="217"/>
      <c r="J5" s="7"/>
      <c r="K5" s="7"/>
      <c r="L5" s="7"/>
      <c r="M5" s="7"/>
      <c r="P5"/>
      <c r="Q5"/>
      <c r="R5"/>
      <c r="S5"/>
      <c r="T5"/>
    </row>
    <row r="6" spans="1:20" ht="18.75" customHeight="1">
      <c r="A6" s="216"/>
      <c r="B6" s="217"/>
      <c r="C6" s="217"/>
      <c r="D6" s="217"/>
      <c r="E6" s="217"/>
      <c r="F6" s="217"/>
      <c r="G6" s="217"/>
      <c r="H6" s="217"/>
      <c r="I6" s="217"/>
      <c r="J6" s="7"/>
      <c r="K6" s="7"/>
      <c r="L6" s="7"/>
      <c r="M6" s="7"/>
      <c r="P6"/>
      <c r="Q6"/>
      <c r="R6"/>
      <c r="S6"/>
      <c r="T6"/>
    </row>
    <row r="7" spans="1:20" ht="18.75" customHeight="1">
      <c r="A7" s="216"/>
      <c r="B7" s="217"/>
      <c r="C7" s="217"/>
      <c r="D7" s="217"/>
      <c r="E7" s="217"/>
      <c r="F7" s="217"/>
      <c r="G7" s="217"/>
      <c r="H7" s="217"/>
      <c r="I7" s="217"/>
      <c r="J7" s="7"/>
      <c r="K7" s="7"/>
      <c r="L7" s="7"/>
      <c r="M7" s="7"/>
      <c r="P7"/>
      <c r="Q7"/>
      <c r="R7"/>
      <c r="S7"/>
      <c r="T7"/>
    </row>
    <row r="8" spans="1:20" ht="18.75" customHeight="1">
      <c r="A8" s="216"/>
      <c r="B8" s="217"/>
      <c r="C8" s="217"/>
      <c r="D8" s="217"/>
      <c r="E8" s="217"/>
      <c r="F8" s="217"/>
      <c r="G8" s="217"/>
      <c r="H8" s="217"/>
      <c r="I8" s="217"/>
      <c r="J8" s="7"/>
      <c r="K8" s="7"/>
      <c r="L8" s="7"/>
      <c r="M8" s="7"/>
      <c r="P8"/>
      <c r="Q8"/>
      <c r="R8"/>
      <c r="S8"/>
      <c r="T8"/>
    </row>
    <row r="9" spans="1:20" ht="18.75" customHeight="1">
      <c r="A9" s="216"/>
      <c r="B9" s="217"/>
      <c r="C9" s="217"/>
      <c r="D9" s="217"/>
      <c r="E9" s="217"/>
      <c r="F9" s="217"/>
      <c r="G9" s="217"/>
      <c r="H9" s="217"/>
      <c r="I9" s="217"/>
      <c r="J9" s="7"/>
      <c r="K9" s="7"/>
      <c r="L9" s="7"/>
      <c r="M9" s="7"/>
      <c r="P9"/>
      <c r="Q9"/>
      <c r="R9"/>
      <c r="S9"/>
      <c r="T9"/>
    </row>
    <row r="10" spans="1:20" ht="18.75" customHeight="1">
      <c r="A10" s="5"/>
      <c r="B10" s="6"/>
      <c r="C10" s="6"/>
      <c r="D10" s="6"/>
      <c r="E10" s="6"/>
      <c r="F10" s="6"/>
      <c r="G10" s="6"/>
      <c r="H10" s="6"/>
      <c r="I10" s="6"/>
      <c r="J10" s="7"/>
      <c r="K10" s="7"/>
      <c r="L10" s="7"/>
      <c r="M10" s="7"/>
      <c r="P10"/>
      <c r="Q10"/>
      <c r="R10"/>
      <c r="S10"/>
      <c r="T10"/>
    </row>
    <row r="11" spans="2:20" ht="12.75">
      <c r="B11" s="7"/>
      <c r="C11" s="7"/>
      <c r="D11" s="7"/>
      <c r="E11" s="7"/>
      <c r="F11" s="7"/>
      <c r="G11" s="7"/>
      <c r="H11" s="10"/>
      <c r="I11"/>
      <c r="J11" s="7"/>
      <c r="K11" s="7"/>
      <c r="L11" s="7"/>
      <c r="M11" s="7"/>
      <c r="P11"/>
      <c r="Q11"/>
      <c r="R11"/>
      <c r="S11"/>
      <c r="T11"/>
    </row>
    <row r="12" spans="2:20" ht="18">
      <c r="B12" s="7"/>
      <c r="C12" s="7"/>
      <c r="D12" s="7"/>
      <c r="E12" s="7"/>
      <c r="F12" s="7"/>
      <c r="G12" s="7"/>
      <c r="H12" s="10"/>
      <c r="I12" s="3"/>
      <c r="J12" s="7"/>
      <c r="K12" s="7"/>
      <c r="L12" s="7"/>
      <c r="M12" s="7"/>
      <c r="P12"/>
      <c r="Q12"/>
      <c r="R12"/>
      <c r="S12"/>
      <c r="T12"/>
    </row>
    <row r="13" spans="1:20" ht="16.5" customHeight="1">
      <c r="A13" s="76"/>
      <c r="B13" s="76"/>
      <c r="C13" s="76"/>
      <c r="D13" s="76"/>
      <c r="E13" s="76"/>
      <c r="F13" s="76"/>
      <c r="G13" s="76"/>
      <c r="H13" s="76"/>
      <c r="I13" s="76"/>
      <c r="J13" s="7"/>
      <c r="K13" s="7"/>
      <c r="L13" s="7"/>
      <c r="M13" s="7"/>
      <c r="P13"/>
      <c r="Q13"/>
      <c r="R13"/>
      <c r="S13"/>
      <c r="T13"/>
    </row>
    <row r="14" spans="1:20" ht="27.75">
      <c r="A14" s="78" t="s">
        <v>91</v>
      </c>
      <c r="B14" s="11"/>
      <c r="C14" s="11"/>
      <c r="D14" s="11"/>
      <c r="E14" s="11"/>
      <c r="F14" s="11"/>
      <c r="G14" s="11"/>
      <c r="H14" s="11"/>
      <c r="I14" s="11"/>
      <c r="J14"/>
      <c r="K14"/>
      <c r="L14"/>
      <c r="M14" s="12"/>
      <c r="N14" s="12"/>
      <c r="O14"/>
      <c r="P14"/>
      <c r="Q14"/>
      <c r="R14"/>
      <c r="S14"/>
      <c r="T14"/>
    </row>
    <row r="15" spans="1:20" ht="30">
      <c r="A15" s="91" t="s">
        <v>123</v>
      </c>
      <c r="B15" s="11"/>
      <c r="C15" s="11"/>
      <c r="D15" s="11"/>
      <c r="E15" s="11"/>
      <c r="F15" s="11"/>
      <c r="G15" s="11"/>
      <c r="H15" s="11"/>
      <c r="I15" s="11"/>
      <c r="J15"/>
      <c r="K15"/>
      <c r="L15"/>
      <c r="M15" s="12"/>
      <c r="N15" s="12"/>
      <c r="O15"/>
      <c r="P15"/>
      <c r="Q15"/>
      <c r="R15"/>
      <c r="S15"/>
      <c r="T15"/>
    </row>
    <row r="16" spans="1:20" ht="12" customHeight="1">
      <c r="A16" s="77"/>
      <c r="B16" s="11"/>
      <c r="C16" s="11"/>
      <c r="D16" s="11"/>
      <c r="E16" s="11"/>
      <c r="F16" s="11"/>
      <c r="G16" s="11"/>
      <c r="H16" s="11"/>
      <c r="I16" s="11"/>
      <c r="J16"/>
      <c r="K16"/>
      <c r="L16"/>
      <c r="M16" s="12"/>
      <c r="N16" s="12"/>
      <c r="O16"/>
      <c r="P16"/>
      <c r="Q16"/>
      <c r="R16"/>
      <c r="S16"/>
      <c r="T16"/>
    </row>
    <row r="17" spans="1:20" ht="20.25">
      <c r="A17" s="92" t="s">
        <v>125</v>
      </c>
      <c r="B17" s="13"/>
      <c r="C17" s="13"/>
      <c r="D17" s="13"/>
      <c r="E17" s="13"/>
      <c r="F17" s="13"/>
      <c r="G17" s="13"/>
      <c r="H17" s="13"/>
      <c r="I17" s="13"/>
      <c r="M17" s="14"/>
      <c r="O17"/>
      <c r="P17"/>
      <c r="Q17"/>
      <c r="R17"/>
      <c r="S17"/>
      <c r="T17"/>
    </row>
    <row r="18" spans="1:20" ht="20.25">
      <c r="A18" s="35"/>
      <c r="B18" s="13"/>
      <c r="C18" s="13"/>
      <c r="D18" s="13"/>
      <c r="E18" s="13"/>
      <c r="F18" s="13"/>
      <c r="G18" s="13"/>
      <c r="H18" s="13"/>
      <c r="I18" s="13"/>
      <c r="M18" s="14"/>
      <c r="O18"/>
      <c r="P18"/>
      <c r="Q18"/>
      <c r="R18"/>
      <c r="S18"/>
      <c r="T18"/>
    </row>
    <row r="19" spans="1:20" ht="24.75" customHeight="1">
      <c r="A19" s="240" t="s">
        <v>135</v>
      </c>
      <c r="B19" s="240"/>
      <c r="C19" s="240"/>
      <c r="D19" s="240"/>
      <c r="E19" s="240"/>
      <c r="F19" s="240"/>
      <c r="G19" s="240"/>
      <c r="H19" s="240"/>
      <c r="I19" s="240"/>
      <c r="J19" s="7"/>
      <c r="K19" s="7"/>
      <c r="L19" s="7"/>
      <c r="M19" s="7"/>
      <c r="P19"/>
      <c r="Q19"/>
      <c r="R19"/>
      <c r="S19"/>
      <c r="T19"/>
    </row>
    <row r="20" spans="1:9" s="3" customFormat="1" ht="18" customHeight="1">
      <c r="A20" s="239" t="s">
        <v>136</v>
      </c>
      <c r="B20" s="239"/>
      <c r="C20" s="239"/>
      <c r="D20" s="239"/>
      <c r="E20" s="239"/>
      <c r="F20" s="239"/>
      <c r="G20" s="239"/>
      <c r="H20" s="239"/>
      <c r="I20" s="239"/>
    </row>
    <row r="21" spans="1:9" s="3" customFormat="1" ht="18" customHeight="1">
      <c r="A21" s="18"/>
      <c r="B21" s="18"/>
      <c r="C21" s="18"/>
      <c r="D21" s="18"/>
      <c r="E21" s="18"/>
      <c r="F21" s="18"/>
      <c r="G21" s="18"/>
      <c r="H21" s="18"/>
      <c r="I21" s="18"/>
    </row>
    <row r="22" spans="1:20" ht="30" customHeight="1">
      <c r="A22" s="17">
        <f ca="1">TODAY()</f>
        <v>38961</v>
      </c>
      <c r="B22" s="15"/>
      <c r="C22" s="15"/>
      <c r="D22" s="15"/>
      <c r="E22" s="15"/>
      <c r="F22" s="15"/>
      <c r="G22" s="15"/>
      <c r="H22" s="15"/>
      <c r="I22" s="15"/>
      <c r="M22" s="4"/>
      <c r="O22"/>
      <c r="P22"/>
      <c r="Q22"/>
      <c r="R22"/>
      <c r="S22"/>
      <c r="T22"/>
    </row>
    <row r="23" spans="1:20" ht="22.5" customHeight="1">
      <c r="A23" s="236" t="s">
        <v>126</v>
      </c>
      <c r="B23" s="236"/>
      <c r="C23" s="236"/>
      <c r="D23" s="236"/>
      <c r="E23" s="236"/>
      <c r="F23" s="236"/>
      <c r="G23" s="236"/>
      <c r="H23" s="236"/>
      <c r="I23" s="236"/>
      <c r="M23"/>
      <c r="N23"/>
      <c r="O23"/>
      <c r="P23"/>
      <c r="Q23"/>
      <c r="R23"/>
      <c r="S23"/>
      <c r="T23"/>
    </row>
    <row r="24" spans="1:20" ht="12.75">
      <c r="A24" s="236" t="s">
        <v>143</v>
      </c>
      <c r="B24" s="236"/>
      <c r="C24" s="236"/>
      <c r="D24" s="236"/>
      <c r="E24" s="236"/>
      <c r="F24" s="236"/>
      <c r="G24" s="236"/>
      <c r="H24" s="236"/>
      <c r="I24" s="236"/>
      <c r="M24"/>
      <c r="N24"/>
      <c r="O24"/>
      <c r="P24"/>
      <c r="Q24"/>
      <c r="R24"/>
      <c r="S24"/>
      <c r="T24"/>
    </row>
    <row r="25" spans="6:20" ht="12.75">
      <c r="F25" s="16"/>
      <c r="G25"/>
      <c r="M25"/>
      <c r="N25"/>
      <c r="O25"/>
      <c r="P25"/>
      <c r="Q25"/>
      <c r="R25"/>
      <c r="S25"/>
      <c r="T25"/>
    </row>
    <row r="26" spans="6:20" ht="12.75">
      <c r="F26" s="16"/>
      <c r="G26"/>
      <c r="M26"/>
      <c r="N26"/>
      <c r="O26"/>
      <c r="P26"/>
      <c r="Q26"/>
      <c r="R26"/>
      <c r="S26"/>
      <c r="T26"/>
    </row>
    <row r="27" spans="7:20" ht="12.75">
      <c r="G27"/>
      <c r="M27"/>
      <c r="N27"/>
      <c r="O27"/>
      <c r="P27"/>
      <c r="Q27"/>
      <c r="R27"/>
      <c r="S27"/>
      <c r="T27"/>
    </row>
    <row r="28" spans="7:20" ht="12.75">
      <c r="G28"/>
      <c r="M28"/>
      <c r="N28"/>
      <c r="O28"/>
      <c r="P28"/>
      <c r="Q28"/>
      <c r="R28"/>
      <c r="S28"/>
      <c r="T28"/>
    </row>
    <row r="29" spans="7:20" ht="22.5" customHeight="1">
      <c r="G29"/>
      <c r="M29"/>
      <c r="N29"/>
      <c r="O29"/>
      <c r="P29"/>
      <c r="Q29"/>
      <c r="R29"/>
      <c r="S29"/>
      <c r="T29"/>
    </row>
    <row r="30" spans="7:20" ht="12.75">
      <c r="G30"/>
      <c r="M30"/>
      <c r="N30"/>
      <c r="O30"/>
      <c r="P30"/>
      <c r="Q30"/>
      <c r="R30"/>
      <c r="S30"/>
      <c r="T30"/>
    </row>
    <row r="31" spans="7:20" ht="12.75">
      <c r="G31"/>
      <c r="M31"/>
      <c r="N31"/>
      <c r="O31"/>
      <c r="P31"/>
      <c r="Q31"/>
      <c r="R31"/>
      <c r="S31"/>
      <c r="T31"/>
    </row>
    <row r="32" spans="7:20" ht="12.75">
      <c r="G32"/>
      <c r="M32"/>
      <c r="N32"/>
      <c r="P32"/>
      <c r="Q32"/>
      <c r="R32"/>
      <c r="S32"/>
      <c r="T32"/>
    </row>
    <row r="33" spans="1:20" ht="18.75" customHeight="1">
      <c r="A33" s="3"/>
      <c r="M33"/>
      <c r="N33"/>
      <c r="P33"/>
      <c r="Q33"/>
      <c r="R33"/>
      <c r="S33"/>
      <c r="T33"/>
    </row>
    <row r="34" spans="11:20" ht="12.75" customHeight="1">
      <c r="K34"/>
      <c r="M34"/>
      <c r="N34"/>
      <c r="P34"/>
      <c r="Q34"/>
      <c r="R34"/>
      <c r="S34"/>
      <c r="T34"/>
    </row>
    <row r="35" spans="13:20" ht="12.75" customHeight="1">
      <c r="M35"/>
      <c r="N35"/>
      <c r="P35"/>
      <c r="Q35"/>
      <c r="R35"/>
      <c r="S35"/>
      <c r="T35"/>
    </row>
    <row r="36" spans="13:20" ht="12.75">
      <c r="M36"/>
      <c r="N36"/>
      <c r="P36"/>
      <c r="Q36"/>
      <c r="R36"/>
      <c r="S36"/>
      <c r="T36"/>
    </row>
    <row r="37" ht="12.75"/>
    <row r="38" ht="12.75"/>
    <row r="39" ht="12.75"/>
    <row r="40" ht="12.75"/>
    <row r="41" ht="12.75"/>
    <row r="42" ht="12.75"/>
    <row r="43" spans="8:14" ht="12.75">
      <c r="H43"/>
      <c r="I43"/>
      <c r="J43"/>
      <c r="K43"/>
      <c r="L43"/>
      <c r="M43"/>
      <c r="N43"/>
    </row>
  </sheetData>
  <mergeCells count="5">
    <mergeCell ref="A24:I24"/>
    <mergeCell ref="A1:I1"/>
    <mergeCell ref="A20:I20"/>
    <mergeCell ref="A23:I23"/>
    <mergeCell ref="A19:I19"/>
  </mergeCells>
  <printOptions/>
  <pageMargins left="0.5" right="0.5" top="0.75" bottom="0.75" header="0.5" footer="0.5"/>
  <pageSetup horizontalDpi="300" verticalDpi="300" orientation="landscape" scale="87" r:id="rId4"/>
  <rowBreaks count="1" manualBreakCount="1">
    <brk id="31" max="255" man="1"/>
  </rowBreaks>
  <drawing r:id="rId3"/>
  <legacyDrawing r:id="rId2"/>
</worksheet>
</file>

<file path=xl/worksheets/sheet2.xml><?xml version="1.0" encoding="utf-8"?>
<worksheet xmlns="http://schemas.openxmlformats.org/spreadsheetml/2006/main" xmlns:r="http://schemas.openxmlformats.org/officeDocument/2006/relationships">
  <dimension ref="A1:Y319"/>
  <sheetViews>
    <sheetView zoomScale="50" zoomScaleNormal="50" zoomScaleSheetLayoutView="25" workbookViewId="0" topLeftCell="A44">
      <selection activeCell="F313" sqref="F313"/>
    </sheetView>
  </sheetViews>
  <sheetFormatPr defaultColWidth="9.140625" defaultRowHeight="12.75" outlineLevelCol="1"/>
  <cols>
    <col min="1" max="1" width="38.28125" style="0" customWidth="1"/>
    <col min="2" max="2" width="23.28125" style="0" customWidth="1"/>
    <col min="3" max="12" width="24.28125" style="0" customWidth="1"/>
    <col min="13" max="13" width="28.57421875" style="0" customWidth="1"/>
    <col min="14" max="14" width="31.140625" style="0" bestFit="1" customWidth="1"/>
    <col min="15" max="15" width="11.140625" style="3" customWidth="1"/>
    <col min="16" max="16" width="74.421875" style="0" bestFit="1" customWidth="1"/>
    <col min="17" max="17" width="31.140625" style="0" bestFit="1" customWidth="1"/>
    <col min="18" max="18" width="26.7109375" style="0" customWidth="1"/>
    <col min="19" max="22" width="25.8515625" style="0" customWidth="1"/>
    <col min="23" max="23" width="28.28125" style="0" customWidth="1"/>
    <col min="24" max="24" width="25.8515625" style="0" customWidth="1"/>
    <col min="31" max="35" width="9.140625" style="0" customWidth="1" outlineLevel="1"/>
  </cols>
  <sheetData>
    <row r="1" spans="1:14" ht="33.75">
      <c r="A1" s="109" t="s">
        <v>121</v>
      </c>
      <c r="B1" s="41"/>
      <c r="C1" s="42"/>
      <c r="M1" s="84" t="str">
        <f>+Cover!$A$19</f>
        <v>Company/Institution  Name</v>
      </c>
      <c r="N1" s="4"/>
    </row>
    <row r="2" spans="1:14" ht="27.75" customHeight="1">
      <c r="A2" s="39" t="str">
        <f>+Cover!A15</f>
        <v>Biotechnology Name</v>
      </c>
      <c r="B2" s="40"/>
      <c r="C2" s="39"/>
      <c r="M2" s="176" t="s">
        <v>25</v>
      </c>
      <c r="N2" s="4"/>
    </row>
    <row r="3" spans="13:14" ht="27.75" customHeight="1">
      <c r="M3" s="80" t="str">
        <f>+Cover!$A$17</f>
        <v>Draft 1.0</v>
      </c>
      <c r="N3" s="4"/>
    </row>
    <row r="4" ht="27.75" customHeight="1">
      <c r="N4" s="4"/>
    </row>
    <row r="5" spans="1:14" ht="18.75" customHeight="1">
      <c r="A5" s="4"/>
      <c r="B5" s="4"/>
      <c r="C5" s="4"/>
      <c r="D5" s="4"/>
      <c r="E5" s="4"/>
      <c r="N5" s="4"/>
    </row>
    <row r="6" spans="1:13" ht="25.5" customHeight="1">
      <c r="A6" s="93"/>
      <c r="B6" s="20"/>
      <c r="C6" s="20"/>
      <c r="D6" s="20"/>
      <c r="E6" s="93"/>
      <c r="F6" s="20"/>
      <c r="G6" s="20"/>
      <c r="H6" s="20"/>
      <c r="I6" s="20"/>
      <c r="J6" s="20"/>
      <c r="K6" s="20"/>
      <c r="L6" s="20"/>
      <c r="M6" s="20"/>
    </row>
    <row r="7" spans="1:25" ht="18.75" customHeight="1">
      <c r="A7" s="20"/>
      <c r="B7" s="20"/>
      <c r="C7" s="20"/>
      <c r="D7" s="20"/>
      <c r="E7" s="20"/>
      <c r="F7" s="3"/>
      <c r="N7" s="4"/>
      <c r="S7" s="22"/>
      <c r="T7" s="22"/>
      <c r="U7" s="22"/>
      <c r="V7" s="22"/>
      <c r="W7" s="22"/>
      <c r="X7" s="22"/>
      <c r="Y7" s="22"/>
    </row>
    <row r="8" spans="1:25" ht="23.25" customHeight="1" thickBot="1">
      <c r="A8" s="79" t="s">
        <v>69</v>
      </c>
      <c r="B8" s="19"/>
      <c r="C8" s="19"/>
      <c r="D8" s="3"/>
      <c r="E8" s="20"/>
      <c r="F8" s="3"/>
      <c r="L8" s="226"/>
      <c r="M8" s="231" t="s">
        <v>144</v>
      </c>
      <c r="N8" s="4"/>
      <c r="S8" s="22"/>
      <c r="T8" s="22"/>
      <c r="U8" s="22"/>
      <c r="V8" s="22"/>
      <c r="W8" s="22"/>
      <c r="X8" s="22"/>
      <c r="Y8" s="22"/>
    </row>
    <row r="9" spans="1:24" ht="23.25" customHeight="1">
      <c r="A9" s="88" t="s">
        <v>21</v>
      </c>
      <c r="B9" s="3"/>
      <c r="C9" s="3"/>
      <c r="D9" s="204">
        <v>685000000</v>
      </c>
      <c r="E9" s="81" t="s">
        <v>89</v>
      </c>
      <c r="F9" s="3"/>
      <c r="G9" s="3"/>
      <c r="H9" s="3"/>
      <c r="I9" s="3"/>
      <c r="L9" s="228">
        <f>D24</f>
        <v>1</v>
      </c>
      <c r="M9" s="229" t="s">
        <v>31</v>
      </c>
      <c r="N9" s="4"/>
      <c r="S9" s="22"/>
      <c r="U9" s="22"/>
      <c r="V9" s="22"/>
      <c r="W9" s="22"/>
      <c r="X9" s="22"/>
    </row>
    <row r="10" spans="1:24" ht="23.25" customHeight="1">
      <c r="A10" s="88" t="s">
        <v>46</v>
      </c>
      <c r="B10" s="3"/>
      <c r="C10" s="3"/>
      <c r="D10" s="218">
        <v>0.0027</v>
      </c>
      <c r="E10" s="81" t="s">
        <v>90</v>
      </c>
      <c r="F10" s="3"/>
      <c r="G10" s="3"/>
      <c r="H10" s="3"/>
      <c r="I10" s="3"/>
      <c r="L10" s="228">
        <f>L9+D25</f>
        <v>2</v>
      </c>
      <c r="M10" s="229" t="s">
        <v>64</v>
      </c>
      <c r="N10" s="4"/>
      <c r="S10" s="22"/>
      <c r="U10" s="22"/>
      <c r="V10" s="22"/>
      <c r="W10" s="22"/>
      <c r="X10" s="22"/>
    </row>
    <row r="11" spans="1:24" ht="23.25" customHeight="1">
      <c r="A11" s="88" t="s">
        <v>42</v>
      </c>
      <c r="B11" s="3"/>
      <c r="C11" s="3"/>
      <c r="D11" s="219">
        <v>0.05</v>
      </c>
      <c r="E11" s="81"/>
      <c r="F11" s="3"/>
      <c r="G11" s="3"/>
      <c r="H11" s="3"/>
      <c r="I11" s="3"/>
      <c r="L11" s="228">
        <f>L10+D26</f>
        <v>4</v>
      </c>
      <c r="M11" s="229" t="s">
        <v>60</v>
      </c>
      <c r="N11" s="4"/>
      <c r="S11" s="22"/>
      <c r="U11" s="22"/>
      <c r="V11" s="22"/>
      <c r="W11" s="22"/>
      <c r="X11" s="22"/>
    </row>
    <row r="12" spans="1:24" ht="23.25" customHeight="1">
      <c r="A12" s="88" t="s">
        <v>22</v>
      </c>
      <c r="B12" s="3"/>
      <c r="C12" s="3"/>
      <c r="D12" s="205">
        <v>100</v>
      </c>
      <c r="E12" s="81"/>
      <c r="F12" s="3"/>
      <c r="G12" s="3"/>
      <c r="H12" s="3"/>
      <c r="I12" s="3"/>
      <c r="L12" s="228">
        <f>L11+D27</f>
        <v>7</v>
      </c>
      <c r="M12" s="229" t="s">
        <v>56</v>
      </c>
      <c r="N12" s="4"/>
      <c r="S12" s="22"/>
      <c r="U12" s="22"/>
      <c r="V12" s="22"/>
      <c r="W12" s="22"/>
      <c r="X12" s="22"/>
    </row>
    <row r="13" spans="1:24" ht="23.25" customHeight="1">
      <c r="A13" s="88" t="s">
        <v>41</v>
      </c>
      <c r="B13" s="3"/>
      <c r="C13" s="3"/>
      <c r="D13" s="205">
        <v>3</v>
      </c>
      <c r="E13" s="232">
        <f>IF(D13&gt;D15*0.5,"ERROR: Ramp peak must be achieved within the first half of the product revenue cycle","")</f>
      </c>
      <c r="F13" s="3"/>
      <c r="G13" s="3"/>
      <c r="H13" s="3"/>
      <c r="I13" s="3"/>
      <c r="L13" s="228">
        <f>L12+D28</f>
        <v>9</v>
      </c>
      <c r="M13" s="229" t="s">
        <v>32</v>
      </c>
      <c r="N13" s="4"/>
      <c r="S13" s="22"/>
      <c r="U13" s="22"/>
      <c r="V13" s="22"/>
      <c r="W13" s="22"/>
      <c r="X13" s="22"/>
    </row>
    <row r="14" spans="1:24" ht="23.25" customHeight="1">
      <c r="A14" s="88" t="s">
        <v>44</v>
      </c>
      <c r="B14" s="3"/>
      <c r="C14" s="3"/>
      <c r="D14" s="205" t="s">
        <v>43</v>
      </c>
      <c r="E14" s="121">
        <f>IF(AND(D9&gt;200000,OR($D$14="Y",$D$14="y")),"ERROR?  Patient population &gt; 200,000 U.S.","")</f>
      </c>
      <c r="F14" s="8"/>
      <c r="G14" s="3"/>
      <c r="H14" s="3"/>
      <c r="I14" s="3"/>
      <c r="L14" s="230">
        <f>+D15</f>
        <v>9</v>
      </c>
      <c r="M14" s="227" t="s">
        <v>127</v>
      </c>
      <c r="N14" s="4"/>
      <c r="S14" s="22"/>
      <c r="U14" s="22"/>
      <c r="V14" s="22"/>
      <c r="W14" s="22"/>
      <c r="X14" s="22"/>
    </row>
    <row r="15" spans="1:24" ht="23.25" customHeight="1" thickBot="1">
      <c r="A15" s="88" t="s">
        <v>127</v>
      </c>
      <c r="B15" s="3"/>
      <c r="C15" s="3"/>
      <c r="D15" s="206">
        <v>9</v>
      </c>
      <c r="E15" s="121">
        <f>IF(D15+D29&lt;21,"","ERROR - 'Years of Revenue' exceed patent life and /or analysis period")</f>
      </c>
      <c r="F15" s="3"/>
      <c r="G15" s="3"/>
      <c r="H15" s="3"/>
      <c r="I15" s="3"/>
      <c r="L15" s="228">
        <f>SUM(L13:L14)</f>
        <v>18</v>
      </c>
      <c r="M15" s="229" t="s">
        <v>33</v>
      </c>
      <c r="N15" s="4"/>
      <c r="O15"/>
      <c r="S15" s="22"/>
      <c r="U15" s="22"/>
      <c r="V15" s="22"/>
      <c r="W15" s="22"/>
      <c r="X15" s="22"/>
    </row>
    <row r="16" spans="1:24" ht="23.25" customHeight="1">
      <c r="A16" s="88"/>
      <c r="B16" s="3"/>
      <c r="C16" s="3"/>
      <c r="D16" s="82"/>
      <c r="E16" s="81"/>
      <c r="F16" s="3"/>
      <c r="G16" s="3"/>
      <c r="H16" s="3"/>
      <c r="I16" s="3"/>
      <c r="J16" s="3"/>
      <c r="K16" s="3"/>
      <c r="L16" s="3"/>
      <c r="M16" s="3"/>
      <c r="N16" s="4"/>
      <c r="S16" s="22"/>
      <c r="U16" s="22"/>
      <c r="V16" s="22"/>
      <c r="W16" s="22"/>
      <c r="X16" s="22"/>
    </row>
    <row r="17" spans="1:24" ht="23.25" customHeight="1" thickBot="1">
      <c r="A17" s="79" t="s">
        <v>101</v>
      </c>
      <c r="B17" s="19"/>
      <c r="C17" s="19"/>
      <c r="D17" s="83"/>
      <c r="E17" s="81"/>
      <c r="F17" s="3"/>
      <c r="G17" s="3"/>
      <c r="H17" s="3"/>
      <c r="I17" s="3"/>
      <c r="J17" s="3"/>
      <c r="K17" s="3"/>
      <c r="L17" s="3"/>
      <c r="M17" s="3"/>
      <c r="N17" s="4"/>
      <c r="S17" s="22"/>
      <c r="U17" s="22"/>
      <c r="V17" s="22"/>
      <c r="W17" s="22"/>
      <c r="X17" s="22"/>
    </row>
    <row r="18" spans="1:24" ht="23.25" customHeight="1">
      <c r="A18" s="88" t="s">
        <v>62</v>
      </c>
      <c r="B18" s="3"/>
      <c r="C18" s="3"/>
      <c r="D18" s="204">
        <v>50</v>
      </c>
      <c r="E18" s="81" t="str">
        <f>IF(OR($D$14="y",OR($D$14="Y",OR($D$14="yes",OR($D$14="Yes",$D$14="YES")))),"Approximation","20-80; Pharmaceutical Manufacturing and Research Association")</f>
        <v>20-80; Pharmaceutical Manufacturing and Research Association</v>
      </c>
      <c r="F18" s="3"/>
      <c r="G18" s="3"/>
      <c r="H18" s="3"/>
      <c r="I18" s="3"/>
      <c r="J18" s="3"/>
      <c r="K18" s="3"/>
      <c r="L18" s="3"/>
      <c r="M18" s="3"/>
      <c r="N18" s="4"/>
      <c r="S18" s="22"/>
      <c r="U18" s="22"/>
      <c r="V18" s="22"/>
      <c r="W18" s="22"/>
      <c r="X18" s="22"/>
    </row>
    <row r="19" spans="1:24" ht="23.25" customHeight="1">
      <c r="A19" s="88" t="s">
        <v>58</v>
      </c>
      <c r="B19" s="3"/>
      <c r="C19" s="3"/>
      <c r="D19" s="205">
        <v>200</v>
      </c>
      <c r="E19" s="81" t="str">
        <f>IF(OR($D$14="y",OR($D$14="Y",OR($D$14="yes",OR($D$14="Yes",$D$14="YES")))),"Approximation","100-300; Pharmaceutical Manufacturing and Research Association")</f>
        <v>100-300; Pharmaceutical Manufacturing and Research Association</v>
      </c>
      <c r="F19" s="3"/>
      <c r="G19" s="3"/>
      <c r="H19" s="3"/>
      <c r="I19" s="3"/>
      <c r="J19" s="3"/>
      <c r="K19" s="3"/>
      <c r="L19" s="3"/>
      <c r="M19" s="3"/>
      <c r="N19" s="4"/>
      <c r="S19" s="22"/>
      <c r="U19" s="22"/>
      <c r="V19" s="22"/>
      <c r="W19" s="22"/>
      <c r="X19" s="22"/>
    </row>
    <row r="20" spans="1:24" ht="23.25" customHeight="1" thickBot="1">
      <c r="A20" s="88" t="s">
        <v>54</v>
      </c>
      <c r="B20" s="3"/>
      <c r="C20" s="3"/>
      <c r="D20" s="206">
        <v>2000</v>
      </c>
      <c r="E20" s="81" t="str">
        <f>IF(OR($D$14="y",OR($D$14="Y",OR($D$14="yes",OR($D$14="Yes",$D$14="YES")))),"","1,000-5,000; Pharmaceutical Manufacturing and Research Association")</f>
        <v>1,000-5,000; Pharmaceutical Manufacturing and Research Association</v>
      </c>
      <c r="F20" s="3"/>
      <c r="G20" s="3"/>
      <c r="H20" s="3"/>
      <c r="I20" s="3"/>
      <c r="J20" s="3"/>
      <c r="K20" s="3"/>
      <c r="L20" s="3"/>
      <c r="M20" s="3"/>
      <c r="N20" s="4"/>
      <c r="S20" s="22"/>
      <c r="U20" s="22"/>
      <c r="V20" s="22"/>
      <c r="W20" s="22"/>
      <c r="X20" s="22"/>
    </row>
    <row r="21" spans="1:24" ht="23.25" customHeight="1">
      <c r="A21" s="88"/>
      <c r="B21" s="3"/>
      <c r="C21" s="3"/>
      <c r="D21" s="84"/>
      <c r="E21" s="81"/>
      <c r="F21" s="3"/>
      <c r="G21" s="3"/>
      <c r="H21" s="3"/>
      <c r="I21" s="3"/>
      <c r="J21" s="3"/>
      <c r="K21" s="3"/>
      <c r="L21" s="3"/>
      <c r="M21" s="3"/>
      <c r="N21" s="4"/>
      <c r="O21" s="29"/>
      <c r="S21" s="22"/>
      <c r="U21" s="22"/>
      <c r="V21" s="22"/>
      <c r="W21" s="22"/>
      <c r="X21" s="22"/>
    </row>
    <row r="22" spans="1:24" ht="23.25" customHeight="1">
      <c r="A22" s="88"/>
      <c r="B22" s="3"/>
      <c r="C22" s="3"/>
      <c r="D22" s="84"/>
      <c r="E22" s="81"/>
      <c r="F22" s="3"/>
      <c r="G22" s="3"/>
      <c r="H22" s="3"/>
      <c r="I22" s="3"/>
      <c r="J22" s="3"/>
      <c r="K22" s="3"/>
      <c r="L22" s="3"/>
      <c r="M22" s="3"/>
      <c r="N22" s="4"/>
      <c r="O22" s="29"/>
      <c r="S22" s="22"/>
      <c r="U22" s="22"/>
      <c r="V22" s="22"/>
      <c r="W22" s="22"/>
      <c r="X22" s="22"/>
    </row>
    <row r="23" spans="1:24" ht="23.25" customHeight="1" thickBot="1">
      <c r="A23" s="79" t="s">
        <v>103</v>
      </c>
      <c r="B23" s="19"/>
      <c r="C23" s="19"/>
      <c r="D23" s="84"/>
      <c r="E23" s="81"/>
      <c r="F23" s="3"/>
      <c r="G23" s="3"/>
      <c r="H23" s="3"/>
      <c r="I23" s="3"/>
      <c r="J23" s="3"/>
      <c r="K23" s="3"/>
      <c r="L23" s="3"/>
      <c r="M23" s="3"/>
      <c r="N23" s="4"/>
      <c r="O23" s="29"/>
      <c r="S23" s="22"/>
      <c r="U23" s="22"/>
      <c r="V23" s="22"/>
      <c r="W23" s="22"/>
      <c r="X23" s="22"/>
    </row>
    <row r="24" spans="1:24" ht="23.25" customHeight="1">
      <c r="A24" s="88" t="s">
        <v>15</v>
      </c>
      <c r="B24" s="3"/>
      <c r="C24" s="3"/>
      <c r="D24" s="204">
        <v>1</v>
      </c>
      <c r="E24" s="81" t="str">
        <f>IF($D$24=0,"Completed","Pharmaceutical Manufacturing and Research Association")</f>
        <v>Pharmaceutical Manufacturing and Research Association</v>
      </c>
      <c r="F24" s="3"/>
      <c r="G24" s="3"/>
      <c r="H24" s="3"/>
      <c r="I24" s="3"/>
      <c r="J24" s="3"/>
      <c r="K24" s="3"/>
      <c r="L24" s="3"/>
      <c r="M24" s="3"/>
      <c r="N24" s="4"/>
      <c r="S24" s="22"/>
      <c r="U24" s="22"/>
      <c r="V24" s="22"/>
      <c r="W24" s="22"/>
      <c r="X24" s="22"/>
    </row>
    <row r="25" spans="1:24" ht="23.25" customHeight="1">
      <c r="A25" s="88" t="s">
        <v>62</v>
      </c>
      <c r="B25" s="3"/>
      <c r="C25" s="3"/>
      <c r="D25" s="205">
        <v>1</v>
      </c>
      <c r="E25" s="81" t="str">
        <f>IF(D25=0,"Completed","Pharmaceutical Manufacturing and Research Association")</f>
        <v>Pharmaceutical Manufacturing and Research Association</v>
      </c>
      <c r="F25" s="3"/>
      <c r="G25" s="3"/>
      <c r="H25" s="3"/>
      <c r="I25" s="3"/>
      <c r="J25" s="3"/>
      <c r="K25" s="3"/>
      <c r="L25" s="3"/>
      <c r="M25" s="3"/>
      <c r="N25" s="4"/>
      <c r="S25" s="22"/>
      <c r="U25" s="22"/>
      <c r="V25" s="22"/>
      <c r="W25" s="22"/>
      <c r="X25" s="22"/>
    </row>
    <row r="26" spans="1:24" ht="23.25" customHeight="1">
      <c r="A26" s="88" t="s">
        <v>58</v>
      </c>
      <c r="B26" s="3"/>
      <c r="C26" s="3"/>
      <c r="D26" s="205">
        <v>2</v>
      </c>
      <c r="E26" s="81" t="str">
        <f>IF(D26=0,"Completed","Pharmaceutical Manufacturing and Research Association")</f>
        <v>Pharmaceutical Manufacturing and Research Association</v>
      </c>
      <c r="F26" s="3"/>
      <c r="G26" s="3"/>
      <c r="H26" s="3"/>
      <c r="I26" s="3"/>
      <c r="J26" s="3"/>
      <c r="K26" s="3"/>
      <c r="L26" s="3"/>
      <c r="M26" s="3"/>
      <c r="N26" s="4"/>
      <c r="S26" s="22"/>
      <c r="U26" s="22"/>
      <c r="V26" s="22"/>
      <c r="W26" s="22"/>
      <c r="X26" s="22"/>
    </row>
    <row r="27" spans="1:24" ht="23.25" customHeight="1">
      <c r="A27" s="88" t="s">
        <v>54</v>
      </c>
      <c r="B27" s="3"/>
      <c r="C27" s="3"/>
      <c r="D27" s="205">
        <v>3</v>
      </c>
      <c r="E27" s="81" t="str">
        <f>IF(+D27=0,"Completed",IF(OR($D$14="y",OR($D$14="Y",OR($D$14="yes",OR($D$14="Yes",$D$14="YES")))),"","Pharmaceutical Manufacturing and Research Association"))</f>
        <v>Pharmaceutical Manufacturing and Research Association</v>
      </c>
      <c r="F27" s="3"/>
      <c r="G27" s="3"/>
      <c r="H27" s="3"/>
      <c r="I27" s="3"/>
      <c r="J27" s="3"/>
      <c r="K27" s="3"/>
      <c r="L27" s="3"/>
      <c r="M27" s="3"/>
      <c r="N27" s="4"/>
      <c r="S27" s="22"/>
      <c r="U27" s="22"/>
      <c r="V27" s="22"/>
      <c r="W27" s="22"/>
      <c r="X27" s="22"/>
    </row>
    <row r="28" spans="1:24" ht="23.25" customHeight="1">
      <c r="A28" s="88" t="s">
        <v>27</v>
      </c>
      <c r="B28" s="3"/>
      <c r="C28" s="3"/>
      <c r="D28" s="220">
        <v>2</v>
      </c>
      <c r="E28" s="203" t="str">
        <f>IF(D28=0,"ERROR?",IF(OR($D$14="y",OR($D$14="Y",OR($D$14="yes",OR($D$14="Yes",$D$14="YES")))),"Fast-track","Pharmaceutical Manufacturing and Research Association"))</f>
        <v>Pharmaceutical Manufacturing and Research Association</v>
      </c>
      <c r="F28" s="19"/>
      <c r="G28" s="19"/>
      <c r="H28" s="19"/>
      <c r="I28" s="3"/>
      <c r="J28" s="3"/>
      <c r="K28" s="3"/>
      <c r="L28" s="3"/>
      <c r="M28" s="3"/>
      <c r="N28" s="4"/>
      <c r="S28" s="22"/>
      <c r="U28" s="22"/>
      <c r="V28" s="22"/>
      <c r="W28" s="22"/>
      <c r="X28" s="22"/>
    </row>
    <row r="29" spans="1:24" ht="23.25" customHeight="1" thickBot="1">
      <c r="A29" s="88"/>
      <c r="B29" s="3"/>
      <c r="C29" s="3"/>
      <c r="D29" s="206">
        <f>SUM(D24:D28)</f>
        <v>9</v>
      </c>
      <c r="E29" s="81" t="s">
        <v>92</v>
      </c>
      <c r="F29" s="3"/>
      <c r="G29" s="3"/>
      <c r="H29" s="3"/>
      <c r="I29" s="3"/>
      <c r="J29" s="3"/>
      <c r="K29" s="3"/>
      <c r="L29" s="3"/>
      <c r="M29" s="3"/>
      <c r="N29" s="4"/>
      <c r="S29" s="22"/>
      <c r="U29" s="22"/>
      <c r="V29" s="22"/>
      <c r="W29" s="22"/>
      <c r="X29" s="22"/>
    </row>
    <row r="30" spans="1:24" ht="23.25" customHeight="1">
      <c r="A30" s="88"/>
      <c r="B30" s="3"/>
      <c r="C30" s="3"/>
      <c r="D30" s="85"/>
      <c r="E30" s="81"/>
      <c r="F30" s="3"/>
      <c r="G30" s="3"/>
      <c r="H30" s="3"/>
      <c r="I30" s="3"/>
      <c r="J30" s="3"/>
      <c r="K30" s="3"/>
      <c r="L30" s="3"/>
      <c r="M30" s="3"/>
      <c r="N30" s="4"/>
      <c r="S30" s="22"/>
      <c r="U30" s="22"/>
      <c r="V30" s="22"/>
      <c r="W30" s="22"/>
      <c r="X30" s="22"/>
    </row>
    <row r="31" spans="1:24" ht="23.25" customHeight="1" thickBot="1">
      <c r="A31" s="79" t="s">
        <v>68</v>
      </c>
      <c r="B31" s="19"/>
      <c r="C31" s="19"/>
      <c r="D31" s="85"/>
      <c r="E31" s="81"/>
      <c r="F31" s="3"/>
      <c r="G31" s="3"/>
      <c r="H31" s="3"/>
      <c r="I31" s="3"/>
      <c r="J31" s="3"/>
      <c r="K31" s="3"/>
      <c r="L31" s="3"/>
      <c r="M31" s="3"/>
      <c r="N31" s="4"/>
      <c r="S31" s="22"/>
      <c r="U31" s="22"/>
      <c r="V31" s="22"/>
      <c r="W31" s="22"/>
      <c r="X31" s="22"/>
    </row>
    <row r="32" spans="1:24" ht="23.25" customHeight="1">
      <c r="A32" s="88" t="s">
        <v>50</v>
      </c>
      <c r="B32" s="3"/>
      <c r="C32" s="3"/>
      <c r="D32" s="215">
        <v>10000</v>
      </c>
      <c r="E32" s="81"/>
      <c r="F32" s="3"/>
      <c r="G32" s="3"/>
      <c r="H32" s="3"/>
      <c r="I32" s="3"/>
      <c r="J32" s="3"/>
      <c r="K32" s="3"/>
      <c r="L32" s="3"/>
      <c r="M32" s="3"/>
      <c r="N32" s="4"/>
      <c r="S32" s="22"/>
      <c r="U32" s="22"/>
      <c r="V32" s="22"/>
      <c r="W32" s="22"/>
      <c r="X32" s="22"/>
    </row>
    <row r="33" spans="1:24" ht="23.25" customHeight="1">
      <c r="A33" s="88" t="s">
        <v>29</v>
      </c>
      <c r="B33" s="3"/>
      <c r="C33" s="3"/>
      <c r="D33" s="213">
        <v>500000</v>
      </c>
      <c r="E33" s="81" t="str">
        <f>IF($D$33=0,"","Approximate Total Costs for 2 Scientists")</f>
        <v>Approximate Total Costs for 2 Scientists</v>
      </c>
      <c r="F33" s="3"/>
      <c r="G33" s="3"/>
      <c r="H33" s="3"/>
      <c r="I33" s="3"/>
      <c r="J33" s="3"/>
      <c r="K33" s="3"/>
      <c r="L33" s="3"/>
      <c r="M33" s="3"/>
      <c r="N33" s="4"/>
      <c r="U33" s="22"/>
      <c r="V33" s="22"/>
      <c r="W33" s="22"/>
      <c r="X33" s="22"/>
    </row>
    <row r="34" spans="1:24" ht="23.25" customHeight="1">
      <c r="A34" s="88" t="s">
        <v>63</v>
      </c>
      <c r="B34" s="3"/>
      <c r="C34" s="3"/>
      <c r="D34" s="213">
        <v>12000</v>
      </c>
      <c r="E34" s="81" t="str">
        <f>IF($D$34=0,"","Hollister-Stier")</f>
        <v>Hollister-Stier</v>
      </c>
      <c r="F34" s="3"/>
      <c r="G34" s="3"/>
      <c r="H34" s="3"/>
      <c r="I34" s="3"/>
      <c r="J34" s="3"/>
      <c r="K34" s="3"/>
      <c r="L34" s="3"/>
      <c r="M34" s="3"/>
      <c r="N34" s="4"/>
      <c r="U34" s="22"/>
      <c r="V34" s="22"/>
      <c r="W34" s="22"/>
      <c r="X34" s="22"/>
    </row>
    <row r="35" spans="1:24" ht="23.25" customHeight="1">
      <c r="A35" s="88" t="s">
        <v>59</v>
      </c>
      <c r="B35" s="3"/>
      <c r="C35" s="3"/>
      <c r="D35" s="213">
        <v>12000</v>
      </c>
      <c r="E35" s="81" t="str">
        <f>IF($D$35=0,"","Hollister-Stier")</f>
        <v>Hollister-Stier</v>
      </c>
      <c r="F35" s="3"/>
      <c r="G35" s="3"/>
      <c r="H35" s="3"/>
      <c r="I35" s="3"/>
      <c r="J35" s="3"/>
      <c r="K35" s="3"/>
      <c r="L35" s="3"/>
      <c r="M35" s="3"/>
      <c r="N35" s="4"/>
      <c r="U35" s="22"/>
      <c r="V35" s="22"/>
      <c r="W35" s="22"/>
      <c r="X35" s="22"/>
    </row>
    <row r="36" spans="1:24" ht="23.25" customHeight="1">
      <c r="A36" s="88" t="s">
        <v>55</v>
      </c>
      <c r="B36" s="3"/>
      <c r="C36" s="3"/>
      <c r="D36" s="213">
        <v>6000</v>
      </c>
      <c r="E36" s="81" t="str">
        <f>IF($D$36=0,"","Hollister-Stier")</f>
        <v>Hollister-Stier</v>
      </c>
      <c r="F36" s="3"/>
      <c r="G36" s="3"/>
      <c r="H36" s="3"/>
      <c r="I36" s="3"/>
      <c r="J36" s="3"/>
      <c r="K36" s="3"/>
      <c r="L36" s="3"/>
      <c r="M36" s="3"/>
      <c r="N36" s="4"/>
      <c r="U36" s="22"/>
      <c r="V36" s="22"/>
      <c r="W36" s="22"/>
      <c r="X36" s="22"/>
    </row>
    <row r="37" spans="1:24" ht="23.25" customHeight="1">
      <c r="A37" s="88" t="s">
        <v>48</v>
      </c>
      <c r="B37" s="3"/>
      <c r="C37" s="3"/>
      <c r="D37" s="213">
        <v>1300000</v>
      </c>
      <c r="E37" s="81" t="str">
        <f>IF($D$37=0,"","$309,647 for PDUFA and $500,000-1,500,000+ for NDA preparation (ProPharma Partners; Covance)")</f>
        <v>$309,647 for PDUFA and $500,000-1,500,000+ for NDA preparation (ProPharma Partners; Covance)</v>
      </c>
      <c r="F37" s="3"/>
      <c r="G37" s="3"/>
      <c r="H37" s="3"/>
      <c r="I37" s="3"/>
      <c r="J37" s="3"/>
      <c r="K37" s="3"/>
      <c r="L37" s="3"/>
      <c r="M37" s="3"/>
      <c r="N37" s="4"/>
      <c r="U37" s="22"/>
      <c r="V37" s="22"/>
      <c r="W37" s="22"/>
      <c r="X37" s="22"/>
    </row>
    <row r="38" spans="1:24" ht="23.25" customHeight="1">
      <c r="A38" s="88" t="s">
        <v>98</v>
      </c>
      <c r="B38" s="3"/>
      <c r="C38" s="3"/>
      <c r="D38" s="213">
        <v>500000</v>
      </c>
      <c r="E38" s="81" t="str">
        <f>IF($D38=0,"","SEC documents referencing 2001 survey")</f>
        <v>SEC documents referencing 2001 survey</v>
      </c>
      <c r="F38" s="3"/>
      <c r="G38" s="3"/>
      <c r="H38" s="3"/>
      <c r="I38" s="3"/>
      <c r="J38" s="3"/>
      <c r="K38" s="3"/>
      <c r="L38" s="3"/>
      <c r="M38" s="3"/>
      <c r="N38" s="4"/>
      <c r="U38" s="22"/>
      <c r="V38" s="22"/>
      <c r="W38" s="22"/>
      <c r="X38" s="22"/>
    </row>
    <row r="39" spans="1:24" ht="23.25" customHeight="1">
      <c r="A39" s="88" t="s">
        <v>99</v>
      </c>
      <c r="B39" s="3"/>
      <c r="C39" s="3"/>
      <c r="D39" s="213">
        <v>1000000</v>
      </c>
      <c r="E39" s="81" t="str">
        <f>IF($D39=0,"","SEC documents referencing 2001 survey")</f>
        <v>SEC documents referencing 2001 survey</v>
      </c>
      <c r="F39" s="3"/>
      <c r="G39" s="3"/>
      <c r="H39" s="3"/>
      <c r="I39" s="3"/>
      <c r="J39" s="3"/>
      <c r="K39" s="3"/>
      <c r="L39" s="3"/>
      <c r="M39" s="3"/>
      <c r="N39" s="4"/>
      <c r="U39" s="22"/>
      <c r="V39" s="22"/>
      <c r="W39" s="22"/>
      <c r="X39" s="22"/>
    </row>
    <row r="40" spans="1:24" ht="23.25" customHeight="1">
      <c r="A40" s="88" t="s">
        <v>100</v>
      </c>
      <c r="B40" s="3"/>
      <c r="C40" s="3"/>
      <c r="D40" s="213">
        <v>1500000</v>
      </c>
      <c r="E40" s="81" t="str">
        <f>IF($D40=0,"","SEC documents referencing 2001 survey")</f>
        <v>SEC documents referencing 2001 survey</v>
      </c>
      <c r="F40" s="3"/>
      <c r="G40" s="3"/>
      <c r="H40" s="3"/>
      <c r="I40" s="3"/>
      <c r="J40" s="3"/>
      <c r="K40" s="3"/>
      <c r="L40" s="3"/>
      <c r="M40" s="3"/>
      <c r="N40" s="4"/>
      <c r="O40"/>
      <c r="U40" s="22"/>
      <c r="V40" s="22"/>
      <c r="W40" s="22"/>
      <c r="X40" s="22"/>
    </row>
    <row r="41" spans="1:15" ht="23.25" customHeight="1" thickBot="1">
      <c r="A41" s="88" t="s">
        <v>26</v>
      </c>
      <c r="B41" s="3"/>
      <c r="C41" s="3"/>
      <c r="D41" s="202">
        <v>0.6</v>
      </c>
      <c r="E41" s="81" t="str">
        <f>IF(D41=60%,"Manufacturing, 25%; Marketing, 25%;  Margin, 10% (McKinsey New Venture, Moscho et al. Nature Biotech 18:719, 2000)","")</f>
        <v>Manufacturing, 25%; Marketing, 25%;  Margin, 10% (McKinsey New Venture, Moscho et al. Nature Biotech 18:719, 2000)</v>
      </c>
      <c r="F41" s="3"/>
      <c r="G41" s="3"/>
      <c r="H41" s="3"/>
      <c r="I41" s="3"/>
      <c r="J41" s="3"/>
      <c r="K41" s="3"/>
      <c r="L41" s="3"/>
      <c r="M41" s="3"/>
      <c r="N41" s="4"/>
      <c r="O41"/>
    </row>
    <row r="42" spans="1:15" ht="23.25" customHeight="1">
      <c r="A42" s="88"/>
      <c r="B42" s="3"/>
      <c r="C42" s="3"/>
      <c r="D42" s="211"/>
      <c r="E42" s="81"/>
      <c r="F42" s="3"/>
      <c r="G42" s="3"/>
      <c r="H42" s="3"/>
      <c r="I42" s="3"/>
      <c r="J42" s="3"/>
      <c r="K42" s="3"/>
      <c r="L42" s="3"/>
      <c r="M42" s="3"/>
      <c r="N42" s="4"/>
      <c r="O42"/>
    </row>
    <row r="43" spans="1:15" ht="23.25" customHeight="1">
      <c r="A43" s="88"/>
      <c r="B43" s="3"/>
      <c r="C43" s="3"/>
      <c r="D43" s="211"/>
      <c r="E43" s="81"/>
      <c r="F43" s="3"/>
      <c r="G43" s="3"/>
      <c r="H43" s="3"/>
      <c r="I43" s="3"/>
      <c r="J43" s="3"/>
      <c r="K43" s="3"/>
      <c r="L43" s="3"/>
      <c r="M43" s="3"/>
      <c r="N43" s="4"/>
      <c r="O43"/>
    </row>
    <row r="44" spans="1:15" ht="23.25" customHeight="1" thickBot="1">
      <c r="A44" s="79" t="s">
        <v>67</v>
      </c>
      <c r="B44" s="19"/>
      <c r="C44" s="19"/>
      <c r="D44" s="211"/>
      <c r="E44" s="81"/>
      <c r="F44" s="3"/>
      <c r="G44" s="3"/>
      <c r="H44" s="3"/>
      <c r="I44" s="3"/>
      <c r="J44" s="3"/>
      <c r="K44" s="3"/>
      <c r="L44" s="3"/>
      <c r="M44" s="3"/>
      <c r="N44" s="4"/>
      <c r="O44"/>
    </row>
    <row r="45" spans="1:15" ht="23.25" customHeight="1">
      <c r="A45" s="88" t="s">
        <v>28</v>
      </c>
      <c r="B45" s="3"/>
      <c r="C45" s="3"/>
      <c r="D45" s="214">
        <v>0.05</v>
      </c>
      <c r="E45" s="81"/>
      <c r="F45" s="3"/>
      <c r="G45" s="3"/>
      <c r="H45" s="3"/>
      <c r="I45" s="3"/>
      <c r="J45" s="3"/>
      <c r="K45" s="3"/>
      <c r="L45" s="3"/>
      <c r="M45" s="3"/>
      <c r="N45" s="4"/>
      <c r="O45"/>
    </row>
    <row r="46" spans="1:15" ht="23.25" customHeight="1" thickBot="1">
      <c r="A46" s="88" t="s">
        <v>5</v>
      </c>
      <c r="B46" s="3"/>
      <c r="C46" s="3"/>
      <c r="D46" s="202">
        <v>0.2</v>
      </c>
      <c r="E46" s="81" t="str">
        <f>IF(D46=20%,"VC and pharma IRR (cost of capital for biotech)","")</f>
        <v>VC and pharma IRR (cost of capital for biotech)</v>
      </c>
      <c r="G46" s="3"/>
      <c r="H46" s="3"/>
      <c r="I46" s="3"/>
      <c r="J46" s="3"/>
      <c r="K46" s="3"/>
      <c r="L46" s="3"/>
      <c r="M46" s="3"/>
      <c r="N46" s="4"/>
      <c r="O46"/>
    </row>
    <row r="47" spans="1:15" ht="23.25" customHeight="1">
      <c r="A47" s="88"/>
      <c r="B47" s="20"/>
      <c r="C47" s="20"/>
      <c r="D47" s="212"/>
      <c r="E47" s="81"/>
      <c r="G47" s="3"/>
      <c r="H47" s="3"/>
      <c r="I47" s="3"/>
      <c r="J47" s="3"/>
      <c r="K47" s="3"/>
      <c r="L47" s="3"/>
      <c r="M47" s="3"/>
      <c r="N47" s="4"/>
      <c r="O47"/>
    </row>
    <row r="48" spans="1:15" ht="23.25" customHeight="1">
      <c r="A48" s="88"/>
      <c r="B48" s="20"/>
      <c r="C48" s="20"/>
      <c r="D48" s="212"/>
      <c r="E48" s="81"/>
      <c r="G48" s="3"/>
      <c r="H48" s="3"/>
      <c r="I48" s="3"/>
      <c r="J48" s="3"/>
      <c r="K48" s="3"/>
      <c r="L48" s="3"/>
      <c r="M48" s="3"/>
      <c r="N48" s="4"/>
      <c r="O48"/>
    </row>
    <row r="49" spans="1:24" ht="23.25" customHeight="1" thickBot="1">
      <c r="A49" s="79" t="s">
        <v>70</v>
      </c>
      <c r="B49" s="19"/>
      <c r="C49" s="19"/>
      <c r="D49" s="86"/>
      <c r="E49" s="81"/>
      <c r="F49" s="3"/>
      <c r="G49" s="3"/>
      <c r="H49" s="3"/>
      <c r="I49" s="3"/>
      <c r="J49" s="3"/>
      <c r="K49" s="3"/>
      <c r="L49" s="3"/>
      <c r="M49" s="3"/>
      <c r="N49" s="4"/>
      <c r="O49"/>
      <c r="U49" s="22"/>
      <c r="V49" s="22"/>
      <c r="W49" s="22"/>
      <c r="X49" s="22"/>
    </row>
    <row r="50" spans="1:24" ht="23.25" customHeight="1">
      <c r="A50" s="88" t="s">
        <v>15</v>
      </c>
      <c r="B50" s="3"/>
      <c r="C50" s="3"/>
      <c r="D50" s="200">
        <v>0.1</v>
      </c>
      <c r="E50" s="81" t="str">
        <f>IF(D50=10%,"Pharmaceutical Manufacturing and Research Association","")</f>
        <v>Pharmaceutical Manufacturing and Research Association</v>
      </c>
      <c r="F50" s="3"/>
      <c r="G50" s="3"/>
      <c r="H50" s="3"/>
      <c r="I50" s="3"/>
      <c r="J50" s="3"/>
      <c r="K50" s="3"/>
      <c r="L50" s="3"/>
      <c r="M50" s="3"/>
      <c r="N50" s="4"/>
      <c r="O50"/>
      <c r="U50" s="22"/>
      <c r="V50" s="22"/>
      <c r="W50" s="22"/>
      <c r="X50" s="22"/>
    </row>
    <row r="51" spans="1:15" ht="23.25" customHeight="1">
      <c r="A51" s="88" t="s">
        <v>62</v>
      </c>
      <c r="B51" s="3"/>
      <c r="C51" s="3"/>
      <c r="D51" s="201">
        <v>0.2</v>
      </c>
      <c r="E51" s="81" t="str">
        <f>IF(D51=20%,"Pharmaceutical Manufacturing and Research Association","")</f>
        <v>Pharmaceutical Manufacturing and Research Association</v>
      </c>
      <c r="F51" s="3"/>
      <c r="G51" s="3"/>
      <c r="H51" s="3"/>
      <c r="I51" s="3"/>
      <c r="J51" s="3"/>
      <c r="K51" s="3"/>
      <c r="L51" s="3"/>
      <c r="M51" s="3"/>
      <c r="N51" s="4"/>
      <c r="O51"/>
    </row>
    <row r="52" spans="1:15" ht="23.25" customHeight="1">
      <c r="A52" s="88" t="s">
        <v>58</v>
      </c>
      <c r="B52" s="3"/>
      <c r="C52" s="3"/>
      <c r="D52" s="201">
        <v>0.3</v>
      </c>
      <c r="E52" s="81" t="str">
        <f>IF(D52=30%,"Pharmaceutical Manufacturing and Research Association","")</f>
        <v>Pharmaceutical Manufacturing and Research Association</v>
      </c>
      <c r="F52" s="3"/>
      <c r="G52" s="3"/>
      <c r="H52" s="3"/>
      <c r="I52" s="3"/>
      <c r="J52" s="3"/>
      <c r="K52" s="3"/>
      <c r="L52" s="3"/>
      <c r="M52" s="3"/>
      <c r="N52" s="4"/>
      <c r="O52"/>
    </row>
    <row r="53" spans="1:15" ht="23.25" customHeight="1">
      <c r="A53" s="88" t="s">
        <v>54</v>
      </c>
      <c r="B53" s="3"/>
      <c r="C53" s="3"/>
      <c r="D53" s="201">
        <v>0.67</v>
      </c>
      <c r="E53" s="81" t="str">
        <f>IF(D53=67%,"Pharmaceutical Manufacturing and Research Association","")</f>
        <v>Pharmaceutical Manufacturing and Research Association</v>
      </c>
      <c r="F53" s="3"/>
      <c r="G53" s="3"/>
      <c r="H53" s="3"/>
      <c r="I53" s="3"/>
      <c r="J53" s="3"/>
      <c r="K53" s="3"/>
      <c r="L53" s="3"/>
      <c r="M53" s="3"/>
      <c r="N53" s="4"/>
      <c r="O53"/>
    </row>
    <row r="54" spans="1:15" ht="23.25" customHeight="1" thickBot="1">
      <c r="A54" s="88" t="s">
        <v>27</v>
      </c>
      <c r="B54" s="3"/>
      <c r="C54" s="81"/>
      <c r="D54" s="202">
        <v>0.81</v>
      </c>
      <c r="E54" s="81" t="str">
        <f>IF(D54&lt;80%,"",IF(D54&gt;85%,"","FDA FY 2000 Performance Report to Congress for the Prescription Drug User Fee Act"))</f>
        <v>FDA FY 2000 Performance Report to Congress for the Prescription Drug User Fee Act</v>
      </c>
      <c r="F54" s="3"/>
      <c r="G54" s="3"/>
      <c r="H54" s="3"/>
      <c r="I54" s="3"/>
      <c r="J54" s="3"/>
      <c r="K54" s="3"/>
      <c r="L54" s="3"/>
      <c r="M54" s="3"/>
      <c r="N54" s="4"/>
      <c r="O54"/>
    </row>
    <row r="55" spans="1:16" ht="23.25" customHeight="1">
      <c r="A55" s="88"/>
      <c r="B55" s="3"/>
      <c r="C55" s="81"/>
      <c r="D55" s="81"/>
      <c r="E55" s="81"/>
      <c r="F55" s="3"/>
      <c r="G55" s="3"/>
      <c r="H55" s="3"/>
      <c r="I55" s="3"/>
      <c r="J55" s="3"/>
      <c r="K55" s="3"/>
      <c r="L55" s="3"/>
      <c r="M55" s="3"/>
      <c r="N55" s="4"/>
      <c r="O55" s="59"/>
      <c r="P55" s="22"/>
    </row>
    <row r="56" spans="1:15" s="22" customFormat="1" ht="19.5">
      <c r="A56" s="56" t="s">
        <v>19</v>
      </c>
      <c r="B56" s="27"/>
      <c r="C56" s="30"/>
      <c r="D56" s="28"/>
      <c r="E56" s="28"/>
      <c r="F56" s="28"/>
      <c r="G56" s="28"/>
      <c r="H56" s="28"/>
      <c r="I56" s="28"/>
      <c r="J56" s="28"/>
      <c r="K56" s="28"/>
      <c r="L56" s="28"/>
      <c r="M56" s="28"/>
      <c r="O56" s="3"/>
    </row>
    <row r="57" spans="1:15" s="22" customFormat="1" ht="25.5" customHeight="1">
      <c r="A57" s="248" t="str">
        <f>+Description!C5</f>
        <v>VALUATION PARAMETERS - This page defines the variables used in the analysis. </v>
      </c>
      <c r="B57" s="250"/>
      <c r="C57" s="250"/>
      <c r="D57" s="250"/>
      <c r="E57" s="250"/>
      <c r="F57" s="250"/>
      <c r="G57" s="250"/>
      <c r="H57" s="250"/>
      <c r="I57" s="250"/>
      <c r="J57" s="250"/>
      <c r="K57" s="250"/>
      <c r="L57" s="250"/>
      <c r="M57" s="250"/>
      <c r="O57" s="3"/>
    </row>
    <row r="58" spans="1:14" ht="33.75">
      <c r="A58" s="109" t="s">
        <v>74</v>
      </c>
      <c r="B58" s="41"/>
      <c r="C58" s="42"/>
      <c r="M58" s="84" t="str">
        <f>+$M$1</f>
        <v>Company/Institution  Name</v>
      </c>
      <c r="N58" s="4"/>
    </row>
    <row r="59" spans="1:14" ht="27.75" customHeight="1">
      <c r="A59" s="39" t="str">
        <f>+A2</f>
        <v>Biotechnology Name</v>
      </c>
      <c r="B59" s="40"/>
      <c r="C59" s="39"/>
      <c r="M59" s="176" t="s">
        <v>25</v>
      </c>
      <c r="N59" s="4"/>
    </row>
    <row r="60" spans="1:14" ht="21.75" customHeight="1">
      <c r="A60" s="42"/>
      <c r="B60" s="42"/>
      <c r="C60" s="34"/>
      <c r="M60" s="80" t="str">
        <f>+$M$3</f>
        <v>Draft 1.0</v>
      </c>
      <c r="N60" s="4"/>
    </row>
    <row r="61" spans="1:14" ht="21.75" customHeight="1">
      <c r="A61" s="27" t="s">
        <v>93</v>
      </c>
      <c r="B61" s="94"/>
      <c r="C61" s="177">
        <f>+D10</f>
        <v>0.0027</v>
      </c>
      <c r="N61" s="4"/>
    </row>
    <row r="62" spans="1:14" ht="21.75" customHeight="1">
      <c r="A62" s="27" t="s">
        <v>30</v>
      </c>
      <c r="B62" s="94"/>
      <c r="C62" s="178">
        <f>+D11</f>
        <v>0.05</v>
      </c>
      <c r="N62" s="4"/>
    </row>
    <row r="63" spans="1:14" ht="21.75" customHeight="1">
      <c r="A63" s="27" t="s">
        <v>4</v>
      </c>
      <c r="B63" s="22"/>
      <c r="C63" s="179">
        <f>+D12</f>
        <v>100</v>
      </c>
      <c r="N63" s="4"/>
    </row>
    <row r="64" spans="1:14" ht="21.75" customHeight="1">
      <c r="A64" s="42"/>
      <c r="B64" s="42"/>
      <c r="C64" s="34"/>
      <c r="N64" s="4"/>
    </row>
    <row r="65" spans="2:24" s="22" customFormat="1" ht="20.25">
      <c r="B65" s="23"/>
      <c r="C65" s="50" t="s">
        <v>1</v>
      </c>
      <c r="D65" s="104"/>
      <c r="E65" s="36"/>
      <c r="F65" s="36"/>
      <c r="G65" s="36"/>
      <c r="H65" s="36"/>
      <c r="I65" s="36"/>
      <c r="J65" s="36"/>
      <c r="K65" s="36"/>
      <c r="L65" s="36"/>
      <c r="N65" s="36"/>
      <c r="Q65" s="36"/>
      <c r="R65" s="36"/>
      <c r="S65" s="36"/>
      <c r="T65" s="36"/>
      <c r="U65" s="36"/>
      <c r="V65" s="36"/>
      <c r="W65" s="36"/>
      <c r="X65" s="37"/>
    </row>
    <row r="66" spans="1:12" s="22" customFormat="1" ht="23.25">
      <c r="A66" s="44" t="s">
        <v>113</v>
      </c>
      <c r="B66" s="198"/>
      <c r="C66" s="195">
        <v>1</v>
      </c>
      <c r="D66" s="197">
        <v>2</v>
      </c>
      <c r="E66" s="197">
        <v>3</v>
      </c>
      <c r="F66" s="197">
        <v>4</v>
      </c>
      <c r="G66" s="197">
        <v>5</v>
      </c>
      <c r="H66" s="197">
        <v>6</v>
      </c>
      <c r="I66" s="197">
        <v>7</v>
      </c>
      <c r="J66" s="197">
        <v>8</v>
      </c>
      <c r="K66" s="197">
        <v>9</v>
      </c>
      <c r="L66" s="199">
        <v>10</v>
      </c>
    </row>
    <row r="67" spans="1:12" s="22" customFormat="1" ht="18.75">
      <c r="A67" s="94"/>
      <c r="B67" s="94"/>
      <c r="C67" s="94"/>
      <c r="D67" s="94"/>
      <c r="E67" s="94"/>
      <c r="F67" s="94"/>
      <c r="G67" s="94"/>
      <c r="H67" s="94"/>
      <c r="I67" s="94"/>
      <c r="J67" s="94"/>
      <c r="K67" s="94"/>
      <c r="L67" s="94"/>
    </row>
    <row r="68" spans="1:12" s="22" customFormat="1" ht="19.5">
      <c r="A68" s="58" t="s">
        <v>112</v>
      </c>
      <c r="B68" s="94"/>
      <c r="C68" s="94"/>
      <c r="D68" s="94"/>
      <c r="E68" s="94"/>
      <c r="F68" s="94"/>
      <c r="G68" s="94"/>
      <c r="H68" s="94"/>
      <c r="I68" s="94"/>
      <c r="J68" s="94"/>
      <c r="K68" s="94"/>
      <c r="L68" s="94"/>
    </row>
    <row r="69" spans="1:12" s="22" customFormat="1" ht="18.75">
      <c r="A69" s="27" t="s">
        <v>16</v>
      </c>
      <c r="C69" s="181">
        <f>+D9</f>
        <v>685000000</v>
      </c>
      <c r="D69" s="106">
        <f aca="true" t="shared" si="0" ref="D69:L69">+C69*(1+$C61)</f>
        <v>686849500</v>
      </c>
      <c r="E69" s="106">
        <f t="shared" si="0"/>
        <v>688703993.65</v>
      </c>
      <c r="F69" s="106">
        <f t="shared" si="0"/>
        <v>690563494.4328549</v>
      </c>
      <c r="G69" s="106">
        <f t="shared" si="0"/>
        <v>692428015.8678236</v>
      </c>
      <c r="H69" s="106">
        <f t="shared" si="0"/>
        <v>694297571.5106667</v>
      </c>
      <c r="I69" s="106">
        <f t="shared" si="0"/>
        <v>696172174.9537455</v>
      </c>
      <c r="J69" s="106">
        <f t="shared" si="0"/>
        <v>698051839.8261205</v>
      </c>
      <c r="K69" s="106">
        <f t="shared" si="0"/>
        <v>699936579.793651</v>
      </c>
      <c r="L69" s="107">
        <f t="shared" si="0"/>
        <v>701826408.5590938</v>
      </c>
    </row>
    <row r="70" spans="1:12" s="22" customFormat="1" ht="18.75">
      <c r="A70" s="24" t="s">
        <v>114</v>
      </c>
      <c r="C70" s="182">
        <f>IF(C$66&gt;$L$15,0,IF(C$66&gt;$L$13,IF(C$66&gt;$L$15-$D$13,C62-($D$11/(1+$D$13)),IF(C$66&lt;$L$13+$D$13,C62+$D$11/($D$13),$D$11)),0))</f>
        <v>0</v>
      </c>
      <c r="D70" s="180">
        <f aca="true" t="shared" si="1" ref="D70:L70">IF(D$66&gt;$L$15,0,IF(D$66&gt;$L$13,IF(D$66&gt;$L$15-$D$13,C70-($D$11/(1+$D$13)),IF(D$66&lt;$L$13+$D$13,C70+$D$11/($D$13),$D$11)),0))</f>
        <v>0</v>
      </c>
      <c r="E70" s="180">
        <f t="shared" si="1"/>
        <v>0</v>
      </c>
      <c r="F70" s="180">
        <f t="shared" si="1"/>
        <v>0</v>
      </c>
      <c r="G70" s="180">
        <f t="shared" si="1"/>
        <v>0</v>
      </c>
      <c r="H70" s="180">
        <f t="shared" si="1"/>
        <v>0</v>
      </c>
      <c r="I70" s="180">
        <f t="shared" si="1"/>
        <v>0</v>
      </c>
      <c r="J70" s="180">
        <f t="shared" si="1"/>
        <v>0</v>
      </c>
      <c r="K70" s="180">
        <f t="shared" si="1"/>
        <v>0</v>
      </c>
      <c r="L70" s="183">
        <f t="shared" si="1"/>
        <v>0.016666666666666666</v>
      </c>
    </row>
    <row r="71" spans="1:15" s="22" customFormat="1" ht="18.75">
      <c r="A71" s="223" t="s">
        <v>2</v>
      </c>
      <c r="B71" s="192"/>
      <c r="C71" s="101">
        <f aca="true" t="shared" si="2" ref="C71:L71">C69*C70</f>
        <v>0</v>
      </c>
      <c r="D71" s="60">
        <f t="shared" si="2"/>
        <v>0</v>
      </c>
      <c r="E71" s="60">
        <f t="shared" si="2"/>
        <v>0</v>
      </c>
      <c r="F71" s="60">
        <f t="shared" si="2"/>
        <v>0</v>
      </c>
      <c r="G71" s="60">
        <f t="shared" si="2"/>
        <v>0</v>
      </c>
      <c r="H71" s="60">
        <f t="shared" si="2"/>
        <v>0</v>
      </c>
      <c r="I71" s="60">
        <f t="shared" si="2"/>
        <v>0</v>
      </c>
      <c r="J71" s="60">
        <f t="shared" si="2"/>
        <v>0</v>
      </c>
      <c r="K71" s="60">
        <f t="shared" si="2"/>
        <v>0</v>
      </c>
      <c r="L71" s="61">
        <f t="shared" si="2"/>
        <v>11697106.80931823</v>
      </c>
      <c r="O71" s="29"/>
    </row>
    <row r="72" spans="1:15" s="22" customFormat="1" ht="19.5">
      <c r="A72" s="98" t="s">
        <v>116</v>
      </c>
      <c r="B72" s="30"/>
      <c r="C72" s="28">
        <f aca="true" t="shared" si="3" ref="C72:L72">C71*$C$63</f>
        <v>0</v>
      </c>
      <c r="D72" s="28">
        <f t="shared" si="3"/>
        <v>0</v>
      </c>
      <c r="E72" s="28">
        <f t="shared" si="3"/>
        <v>0</v>
      </c>
      <c r="F72" s="28">
        <f t="shared" si="3"/>
        <v>0</v>
      </c>
      <c r="G72" s="28">
        <f t="shared" si="3"/>
        <v>0</v>
      </c>
      <c r="H72" s="28">
        <f t="shared" si="3"/>
        <v>0</v>
      </c>
      <c r="I72" s="28">
        <f t="shared" si="3"/>
        <v>0</v>
      </c>
      <c r="J72" s="28">
        <f t="shared" si="3"/>
        <v>0</v>
      </c>
      <c r="K72" s="28">
        <f t="shared" si="3"/>
        <v>0</v>
      </c>
      <c r="L72" s="28">
        <f t="shared" si="3"/>
        <v>1169710680.931823</v>
      </c>
      <c r="O72" s="3"/>
    </row>
    <row r="73" spans="1:15" s="22" customFormat="1" ht="19.5">
      <c r="A73" s="98"/>
      <c r="B73" s="30"/>
      <c r="C73" s="57"/>
      <c r="D73" s="57"/>
      <c r="E73" s="57"/>
      <c r="F73" s="57"/>
      <c r="G73" s="57"/>
      <c r="H73" s="57"/>
      <c r="I73" s="57"/>
      <c r="J73" s="57"/>
      <c r="K73" s="57"/>
      <c r="L73" s="57"/>
      <c r="O73" s="3"/>
    </row>
    <row r="74" spans="1:15" s="22" customFormat="1" ht="19.5">
      <c r="A74" s="156" t="s">
        <v>45</v>
      </c>
      <c r="B74" s="157"/>
      <c r="C74" s="95">
        <f aca="true" t="shared" si="4" ref="C74:L74">IF(OR($D$14="y",OR($D$14="Y",OR($D$14="yes",OR($D$14="Yes",$D$14="YES")))),SUM(C134:C136)/2,0)</f>
        <v>0</v>
      </c>
      <c r="D74" s="96">
        <f t="shared" si="4"/>
        <v>0</v>
      </c>
      <c r="E74" s="96">
        <f t="shared" si="4"/>
        <v>0</v>
      </c>
      <c r="F74" s="96">
        <f t="shared" si="4"/>
        <v>0</v>
      </c>
      <c r="G74" s="96">
        <f t="shared" si="4"/>
        <v>0</v>
      </c>
      <c r="H74" s="96">
        <f t="shared" si="4"/>
        <v>0</v>
      </c>
      <c r="I74" s="96">
        <f t="shared" si="4"/>
        <v>0</v>
      </c>
      <c r="J74" s="96">
        <f t="shared" si="4"/>
        <v>0</v>
      </c>
      <c r="K74" s="96">
        <f t="shared" si="4"/>
        <v>0</v>
      </c>
      <c r="L74" s="97">
        <f t="shared" si="4"/>
        <v>0</v>
      </c>
      <c r="O74" s="3"/>
    </row>
    <row r="75" spans="1:15" s="22" customFormat="1" ht="18.75">
      <c r="A75" s="252"/>
      <c r="B75" s="253"/>
      <c r="C75" s="94"/>
      <c r="D75" s="94"/>
      <c r="E75" s="94"/>
      <c r="F75" s="94"/>
      <c r="G75" s="94"/>
      <c r="H75" s="94"/>
      <c r="I75" s="94"/>
      <c r="J75" s="94"/>
      <c r="K75" s="94"/>
      <c r="L75" s="94"/>
      <c r="M75" s="24"/>
      <c r="O75" s="3"/>
    </row>
    <row r="76" spans="1:15" s="22" customFormat="1" ht="18.75">
      <c r="A76" s="193"/>
      <c r="B76" s="194"/>
      <c r="C76" s="94"/>
      <c r="D76" s="94"/>
      <c r="E76" s="94"/>
      <c r="F76" s="94"/>
      <c r="G76" s="94"/>
      <c r="H76" s="94"/>
      <c r="I76" s="94"/>
      <c r="J76" s="94"/>
      <c r="K76" s="94"/>
      <c r="L76" s="94"/>
      <c r="M76" s="24"/>
      <c r="O76" s="3"/>
    </row>
    <row r="77" spans="1:15" s="22" customFormat="1" ht="19.5">
      <c r="A77" s="103" t="s">
        <v>111</v>
      </c>
      <c r="C77" s="144">
        <f>C$72+NPV($D$46,D$72:$L$72,$C$96:$L$96)</f>
        <v>2396435635.116529</v>
      </c>
      <c r="D77" s="145">
        <f>D$72+NPV($D$46,E$72:$L$72,$C$96:$L$96)</f>
        <v>2875722762.139835</v>
      </c>
      <c r="E77" s="145">
        <f>E$72+NPV($D$46,F$72:$L$72,$C$96:$L$96)</f>
        <v>3450867314.5678015</v>
      </c>
      <c r="F77" s="145">
        <f>F$72+NPV($D$46,G$72:$L$72,$C$96:$L$96)</f>
        <v>4141040777.4813623</v>
      </c>
      <c r="G77" s="145">
        <f>G$72+NPV($D$46,H$72:$L$72,$C$96:$L$96)</f>
        <v>4969248932.977633</v>
      </c>
      <c r="H77" s="145">
        <f>H$72+NPV($D$46,I$72:$L$72,$C$96:$L$96)</f>
        <v>5963098719.573161</v>
      </c>
      <c r="I77" s="145">
        <f>I$72+NPV($D$46,J$72:$L$72,$C$96:$L$96)</f>
        <v>7155718463.487792</v>
      </c>
      <c r="J77" s="145">
        <f>J$72+NPV($D$46,K$72:$L$72,$C$96:$L$96)</f>
        <v>8586862156.18535</v>
      </c>
      <c r="K77" s="145">
        <f>K$72+NPV($D$46,L$72,$C$96:$L$96)</f>
        <v>10304234587.42242</v>
      </c>
      <c r="L77" s="146">
        <f>L$72+NPV($D$46,$C$96:$L$96)</f>
        <v>12365081504.906906</v>
      </c>
      <c r="O77" s="3"/>
    </row>
    <row r="78" spans="1:15" s="22" customFormat="1" ht="19.5">
      <c r="A78" s="103" t="s">
        <v>115</v>
      </c>
      <c r="C78" s="149">
        <f>C$74+NPV($D$46,D$74:$L$74,$C$98:$L$98)</f>
        <v>0</v>
      </c>
      <c r="D78" s="150">
        <f>D$74+NPV($D$46,E$74:$L$74,$C$98:$L$98)</f>
        <v>0</v>
      </c>
      <c r="E78" s="150">
        <f>E$74+NPV($D$46,F$74:$L$74,$C$98:$L$98)</f>
        <v>0</v>
      </c>
      <c r="F78" s="150">
        <f>F$74+NPV($D$46,G$74:$L$74,$C$98:$L$98)</f>
        <v>0</v>
      </c>
      <c r="G78" s="150">
        <f>G$74+NPV($D$46,H$74:$L$74,$C$98:$L$98)</f>
        <v>0</v>
      </c>
      <c r="H78" s="150">
        <f>H$74+NPV($D$46,I$74:$L$74,$C$98:$L$98)</f>
        <v>0</v>
      </c>
      <c r="I78" s="150">
        <f>I$74+NPV($D$46,J$74:$L$74,$C$98:$L$98)</f>
        <v>0</v>
      </c>
      <c r="J78" s="150">
        <f>J$74+NPV($D$46,K$74:$L$74,$C$98:$L$98)</f>
        <v>0</v>
      </c>
      <c r="K78" s="150">
        <f>K$74+NPV($D$46,L$74,$C$98:$L$98)</f>
        <v>0</v>
      </c>
      <c r="L78" s="151">
        <f>L$74+NPV($D$46,$C$98:$L$98)</f>
        <v>0</v>
      </c>
      <c r="M78" s="94"/>
      <c r="O78" s="3"/>
    </row>
    <row r="79" spans="1:15" s="22" customFormat="1" ht="20.25" thickBot="1">
      <c r="A79" s="187"/>
      <c r="B79" s="31"/>
      <c r="D79" s="94"/>
      <c r="E79" s="94"/>
      <c r="F79" s="94"/>
      <c r="G79" s="94"/>
      <c r="H79" s="94"/>
      <c r="I79" s="94"/>
      <c r="J79" s="94"/>
      <c r="K79" s="94"/>
      <c r="L79" s="94"/>
      <c r="M79" s="94"/>
      <c r="O79" s="3"/>
    </row>
    <row r="80" spans="1:15" s="22" customFormat="1" ht="20.25" thickBot="1">
      <c r="A80" s="186" t="s">
        <v>117</v>
      </c>
      <c r="B80" s="6"/>
      <c r="C80" s="141">
        <f>SUM(C77:C78)</f>
        <v>2396435635.116529</v>
      </c>
      <c r="D80" s="142">
        <f aca="true" t="shared" si="5" ref="D80:L80">SUM(D77:D78)</f>
        <v>2875722762.139835</v>
      </c>
      <c r="E80" s="142">
        <f t="shared" si="5"/>
        <v>3450867314.5678015</v>
      </c>
      <c r="F80" s="142">
        <f t="shared" si="5"/>
        <v>4141040777.4813623</v>
      </c>
      <c r="G80" s="142">
        <f t="shared" si="5"/>
        <v>4969248932.977633</v>
      </c>
      <c r="H80" s="142">
        <f t="shared" si="5"/>
        <v>5963098719.573161</v>
      </c>
      <c r="I80" s="142">
        <f t="shared" si="5"/>
        <v>7155718463.487792</v>
      </c>
      <c r="J80" s="142">
        <f t="shared" si="5"/>
        <v>8586862156.18535</v>
      </c>
      <c r="K80" s="142">
        <f t="shared" si="5"/>
        <v>10304234587.42242</v>
      </c>
      <c r="L80" s="143">
        <f t="shared" si="5"/>
        <v>12365081504.906906</v>
      </c>
      <c r="M80" s="94"/>
      <c r="O80" s="3"/>
    </row>
    <row r="81" spans="1:15" s="22" customFormat="1" ht="18.75">
      <c r="A81" s="188"/>
      <c r="B81" s="189"/>
      <c r="D81" s="94"/>
      <c r="E81" s="94"/>
      <c r="F81" s="94"/>
      <c r="G81" s="94"/>
      <c r="H81" s="94"/>
      <c r="I81" s="94"/>
      <c r="J81" s="94"/>
      <c r="K81" s="94"/>
      <c r="L81" s="94"/>
      <c r="M81" s="94"/>
      <c r="O81" s="3"/>
    </row>
    <row r="82" spans="1:15" s="22" customFormat="1" ht="18.75">
      <c r="A82" s="188"/>
      <c r="B82" s="189"/>
      <c r="D82" s="94"/>
      <c r="E82" s="94"/>
      <c r="F82" s="94"/>
      <c r="G82" s="94"/>
      <c r="H82" s="94"/>
      <c r="I82" s="94"/>
      <c r="J82" s="94"/>
      <c r="K82" s="94"/>
      <c r="L82" s="94"/>
      <c r="M82" s="94"/>
      <c r="O82" s="3"/>
    </row>
    <row r="83" spans="1:15" s="22" customFormat="1" ht="18.75">
      <c r="A83" s="188"/>
      <c r="B83" s="189"/>
      <c r="D83" s="94"/>
      <c r="E83" s="94"/>
      <c r="F83" s="94"/>
      <c r="G83" s="94"/>
      <c r="H83" s="94"/>
      <c r="I83" s="94"/>
      <c r="J83" s="94"/>
      <c r="K83" s="94"/>
      <c r="L83" s="94"/>
      <c r="M83" s="94"/>
      <c r="O83" s="3"/>
    </row>
    <row r="84" spans="4:15" s="22" customFormat="1" ht="18.75">
      <c r="D84" s="94"/>
      <c r="E84" s="94"/>
      <c r="F84" s="94"/>
      <c r="G84" s="94"/>
      <c r="H84" s="94"/>
      <c r="I84" s="94"/>
      <c r="J84" s="94"/>
      <c r="K84" s="94"/>
      <c r="L84" s="94"/>
      <c r="M84" s="94"/>
      <c r="O84" s="3"/>
    </row>
    <row r="85" spans="1:15" s="22" customFormat="1" ht="18.75">
      <c r="A85" s="99"/>
      <c r="B85" s="99"/>
      <c r="C85" s="126"/>
      <c r="D85" s="127"/>
      <c r="G85" s="94"/>
      <c r="O85" s="3"/>
    </row>
    <row r="86" spans="1:15" s="22" customFormat="1" ht="26.25">
      <c r="A86" s="125" t="s">
        <v>66</v>
      </c>
      <c r="B86" s="27"/>
      <c r="C86" s="116">
        <f>$C$80</f>
        <v>2396435635.116529</v>
      </c>
      <c r="D86" s="128"/>
      <c r="G86" s="28"/>
      <c r="O86" s="3"/>
    </row>
    <row r="87" spans="1:15" s="22" customFormat="1" ht="19.5">
      <c r="A87" s="129"/>
      <c r="B87" s="100"/>
      <c r="C87" s="130"/>
      <c r="D87" s="131"/>
      <c r="G87" s="28"/>
      <c r="O87" s="3"/>
    </row>
    <row r="88" spans="1:15" s="22" customFormat="1" ht="21" thickBot="1">
      <c r="A88" s="108" t="s">
        <v>5</v>
      </c>
      <c r="B88" s="124">
        <f>+$D$46</f>
        <v>0.2</v>
      </c>
      <c r="E88" s="28"/>
      <c r="G88" s="28"/>
      <c r="O88" s="3"/>
    </row>
    <row r="89" spans="1:15" s="22" customFormat="1" ht="18.75">
      <c r="A89" s="27"/>
      <c r="B89" s="27"/>
      <c r="C89" s="30"/>
      <c r="D89" s="28"/>
      <c r="E89" s="28"/>
      <c r="F89" s="28"/>
      <c r="G89" s="28"/>
      <c r="H89" s="28"/>
      <c r="I89" s="28"/>
      <c r="J89" s="28"/>
      <c r="K89" s="28"/>
      <c r="L89" s="28"/>
      <c r="M89" s="28"/>
      <c r="O89" s="3"/>
    </row>
    <row r="90" spans="1:24" s="22" customFormat="1" ht="20.25">
      <c r="A90" s="27"/>
      <c r="B90" s="27"/>
      <c r="C90" s="50" t="s">
        <v>1</v>
      </c>
      <c r="D90" s="101"/>
      <c r="E90" s="28"/>
      <c r="F90" s="28"/>
      <c r="G90" s="28"/>
      <c r="H90" s="28"/>
      <c r="I90" s="28"/>
      <c r="J90" s="28"/>
      <c r="K90" s="28"/>
      <c r="L90" s="28"/>
      <c r="M90" s="49" t="s">
        <v>12</v>
      </c>
      <c r="O90" s="57"/>
      <c r="Q90" s="28"/>
      <c r="R90" s="28"/>
      <c r="S90" s="28"/>
      <c r="T90" s="28"/>
      <c r="U90" s="28"/>
      <c r="V90" s="28"/>
      <c r="W90" s="28"/>
      <c r="X90" s="29"/>
    </row>
    <row r="91" spans="1:24" s="22" customFormat="1" ht="20.25">
      <c r="A91" s="24"/>
      <c r="B91" s="24"/>
      <c r="C91" s="195">
        <v>11</v>
      </c>
      <c r="D91" s="196">
        <v>12</v>
      </c>
      <c r="E91" s="197">
        <v>13</v>
      </c>
      <c r="F91" s="197">
        <v>14</v>
      </c>
      <c r="G91" s="197">
        <v>15</v>
      </c>
      <c r="H91" s="197">
        <v>16</v>
      </c>
      <c r="I91" s="197">
        <v>17</v>
      </c>
      <c r="J91" s="197">
        <v>18</v>
      </c>
      <c r="K91" s="197">
        <v>19</v>
      </c>
      <c r="L91" s="197">
        <v>20</v>
      </c>
      <c r="M91" s="138" t="s">
        <v>0</v>
      </c>
      <c r="O91" s="57"/>
      <c r="Q91" s="28"/>
      <c r="R91" s="28"/>
      <c r="S91" s="28"/>
      <c r="T91" s="28"/>
      <c r="U91" s="28"/>
      <c r="V91" s="28"/>
      <c r="W91" s="28"/>
      <c r="X91" s="29"/>
    </row>
    <row r="92" spans="1:24" s="22" customFormat="1" ht="19.5">
      <c r="A92" s="103" t="s">
        <v>112</v>
      </c>
      <c r="C92" s="24"/>
      <c r="D92" s="24"/>
      <c r="E92" s="24"/>
      <c r="F92" s="24"/>
      <c r="G92" s="24"/>
      <c r="H92" s="24"/>
      <c r="I92" s="24"/>
      <c r="J92" s="24"/>
      <c r="K92" s="24"/>
      <c r="L92" s="24"/>
      <c r="M92" s="38"/>
      <c r="O92" s="57"/>
      <c r="Q92" s="28"/>
      <c r="R92" s="28"/>
      <c r="S92" s="28"/>
      <c r="T92" s="28"/>
      <c r="U92" s="28"/>
      <c r="V92" s="28"/>
      <c r="W92" s="28"/>
      <c r="X92" s="29"/>
    </row>
    <row r="93" spans="1:24" s="22" customFormat="1" ht="18.75">
      <c r="A93" s="27" t="s">
        <v>16</v>
      </c>
      <c r="C93" s="181">
        <f>+L69*(1+$C61)</f>
        <v>703721339.8622034</v>
      </c>
      <c r="D93" s="106">
        <f aca="true" t="shared" si="6" ref="D93:L93">+C93*(1+$C61)</f>
        <v>705621387.4798312</v>
      </c>
      <c r="E93" s="106">
        <f t="shared" si="6"/>
        <v>707526565.2260267</v>
      </c>
      <c r="F93" s="106">
        <f t="shared" si="6"/>
        <v>709436886.9521369</v>
      </c>
      <c r="G93" s="106">
        <f t="shared" si="6"/>
        <v>711352366.5469075</v>
      </c>
      <c r="H93" s="106">
        <f t="shared" si="6"/>
        <v>713273017.9365841</v>
      </c>
      <c r="I93" s="106">
        <f t="shared" si="6"/>
        <v>715198855.0850128</v>
      </c>
      <c r="J93" s="106">
        <f t="shared" si="6"/>
        <v>717129891.9937422</v>
      </c>
      <c r="K93" s="106">
        <f t="shared" si="6"/>
        <v>719066142.7021253</v>
      </c>
      <c r="L93" s="107">
        <f t="shared" si="6"/>
        <v>721007621.287421</v>
      </c>
      <c r="M93" s="62"/>
      <c r="O93" s="57"/>
      <c r="Q93" s="28"/>
      <c r="R93" s="28"/>
      <c r="S93" s="28"/>
      <c r="T93" s="28"/>
      <c r="U93" s="28"/>
      <c r="V93" s="28"/>
      <c r="W93" s="28"/>
      <c r="X93" s="29"/>
    </row>
    <row r="94" spans="1:24" s="22" customFormat="1" ht="18.75">
      <c r="A94" s="24" t="s">
        <v>114</v>
      </c>
      <c r="C94" s="182">
        <f>IF(C$91&gt;$L$15,0,IF(C$91&gt;$L$13,IF(C$91&gt;$L$15-$D$13,L70-($D$11/(1+$D$13)),IF(C$91&lt;$L$13+$D$13,L70+$D$11/($D$13),$D$11)),0))</f>
        <v>0.03333333333333333</v>
      </c>
      <c r="D94" s="180">
        <f aca="true" t="shared" si="7" ref="D94:L94">IF(D$91&gt;$L$15,0,IF(D$91&gt;$L$13,IF(D$91&gt;$L$15-$D$13,C94-($D$11/(1+$D$13)),IF(D$91&lt;$L$13+$D$13,C94+$D$11/($D$13),$D$11)),0))</f>
        <v>0.05</v>
      </c>
      <c r="E94" s="180">
        <f t="shared" si="7"/>
        <v>0.05</v>
      </c>
      <c r="F94" s="180">
        <f t="shared" si="7"/>
        <v>0.05</v>
      </c>
      <c r="G94" s="180">
        <f t="shared" si="7"/>
        <v>0.05</v>
      </c>
      <c r="H94" s="180">
        <f t="shared" si="7"/>
        <v>0.037500000000000006</v>
      </c>
      <c r="I94" s="180">
        <f t="shared" si="7"/>
        <v>0.025000000000000005</v>
      </c>
      <c r="J94" s="180">
        <f t="shared" si="7"/>
        <v>0.012500000000000004</v>
      </c>
      <c r="K94" s="180">
        <f t="shared" si="7"/>
        <v>0</v>
      </c>
      <c r="L94" s="183">
        <f t="shared" si="7"/>
        <v>0</v>
      </c>
      <c r="M94" s="24"/>
      <c r="O94" s="57"/>
      <c r="Q94" s="28"/>
      <c r="R94" s="28"/>
      <c r="S94" s="28"/>
      <c r="T94" s="28"/>
      <c r="U94" s="28"/>
      <c r="V94" s="28"/>
      <c r="W94" s="28"/>
      <c r="X94" s="29"/>
    </row>
    <row r="95" spans="1:24" s="22" customFormat="1" ht="18.75">
      <c r="A95" s="223" t="s">
        <v>2</v>
      </c>
      <c r="B95" s="225"/>
      <c r="C95" s="101">
        <f aca="true" t="shared" si="8" ref="C95:L95">C93*C94</f>
        <v>23457377.995406777</v>
      </c>
      <c r="D95" s="60">
        <f t="shared" si="8"/>
        <v>35281069.373991564</v>
      </c>
      <c r="E95" s="60">
        <f t="shared" si="8"/>
        <v>35376328.26130133</v>
      </c>
      <c r="F95" s="60">
        <f t="shared" si="8"/>
        <v>35471844.347606845</v>
      </c>
      <c r="G95" s="60">
        <f t="shared" si="8"/>
        <v>35567618.32734538</v>
      </c>
      <c r="H95" s="60">
        <f t="shared" si="8"/>
        <v>26747738.17262191</v>
      </c>
      <c r="I95" s="60">
        <f t="shared" si="8"/>
        <v>17879971.377125323</v>
      </c>
      <c r="J95" s="60">
        <f t="shared" si="8"/>
        <v>8964123.64992178</v>
      </c>
      <c r="K95" s="60">
        <f t="shared" si="8"/>
        <v>0</v>
      </c>
      <c r="L95" s="61">
        <f t="shared" si="8"/>
        <v>0</v>
      </c>
      <c r="M95" s="62">
        <f>SUM(C71:L71,C95:L95)</f>
        <v>230443178.31463912</v>
      </c>
      <c r="O95" s="57"/>
      <c r="Q95" s="28"/>
      <c r="R95" s="28"/>
      <c r="S95" s="28"/>
      <c r="T95" s="28"/>
      <c r="U95" s="28"/>
      <c r="V95" s="28"/>
      <c r="W95" s="28"/>
      <c r="X95" s="29"/>
    </row>
    <row r="96" spans="1:24" s="22" customFormat="1" ht="19.5">
      <c r="A96" s="98" t="s">
        <v>116</v>
      </c>
      <c r="B96" s="30"/>
      <c r="C96" s="28">
        <f>+C95*$C$63</f>
        <v>2345737799.5406775</v>
      </c>
      <c r="D96" s="28">
        <f>+D95*$C$63</f>
        <v>3528106937.3991566</v>
      </c>
      <c r="E96" s="28">
        <f aca="true" t="shared" si="9" ref="E96:L96">+E95*$C$63</f>
        <v>3537632826.130133</v>
      </c>
      <c r="F96" s="28">
        <f t="shared" si="9"/>
        <v>3547184434.7606845</v>
      </c>
      <c r="G96" s="28">
        <f t="shared" si="9"/>
        <v>3556761832.734538</v>
      </c>
      <c r="H96" s="28">
        <f t="shared" si="9"/>
        <v>2674773817.262191</v>
      </c>
      <c r="I96" s="28">
        <f t="shared" si="9"/>
        <v>1787997137.7125323</v>
      </c>
      <c r="J96" s="28">
        <f t="shared" si="9"/>
        <v>896412364.9921781</v>
      </c>
      <c r="K96" s="28">
        <f t="shared" si="9"/>
        <v>0</v>
      </c>
      <c r="L96" s="28">
        <f t="shared" si="9"/>
        <v>0</v>
      </c>
      <c r="M96" s="47">
        <f>SUM(C72:L72,C96:L96)</f>
        <v>23044317831.463917</v>
      </c>
      <c r="O96" s="57"/>
      <c r="Q96" s="28"/>
      <c r="R96" s="28"/>
      <c r="S96" s="28"/>
      <c r="T96" s="28"/>
      <c r="U96" s="28"/>
      <c r="V96" s="28"/>
      <c r="W96" s="28"/>
      <c r="X96" s="29"/>
    </row>
    <row r="97" spans="1:24" s="22" customFormat="1" ht="19.5">
      <c r="A97" s="98"/>
      <c r="B97" s="30"/>
      <c r="C97" s="24"/>
      <c r="D97" s="24"/>
      <c r="E97" s="24"/>
      <c r="F97" s="24"/>
      <c r="G97" s="24"/>
      <c r="H97" s="24"/>
      <c r="I97" s="24"/>
      <c r="J97" s="24"/>
      <c r="K97" s="24"/>
      <c r="L97" s="24"/>
      <c r="M97" s="38"/>
      <c r="O97" s="57"/>
      <c r="Q97" s="28"/>
      <c r="R97" s="28"/>
      <c r="S97" s="28"/>
      <c r="T97" s="28"/>
      <c r="U97" s="28"/>
      <c r="V97" s="28"/>
      <c r="W97" s="28"/>
      <c r="X97" s="29"/>
    </row>
    <row r="98" spans="1:24" s="22" customFormat="1" ht="19.5">
      <c r="A98" s="156" t="s">
        <v>45</v>
      </c>
      <c r="B98" s="157"/>
      <c r="C98" s="95">
        <f aca="true" t="shared" si="10" ref="C98:L98">IF(OR($D$14="y",OR($D$14="Y",OR($D$14="yes",OR($D$14="Yes",$D$14="YES")))),SUM(C167:C169)/2,0)</f>
        <v>0</v>
      </c>
      <c r="D98" s="96">
        <f t="shared" si="10"/>
        <v>0</v>
      </c>
      <c r="E98" s="96">
        <f t="shared" si="10"/>
        <v>0</v>
      </c>
      <c r="F98" s="96">
        <f t="shared" si="10"/>
        <v>0</v>
      </c>
      <c r="G98" s="96">
        <f t="shared" si="10"/>
        <v>0</v>
      </c>
      <c r="H98" s="96">
        <f t="shared" si="10"/>
        <v>0</v>
      </c>
      <c r="I98" s="96">
        <f t="shared" si="10"/>
        <v>0</v>
      </c>
      <c r="J98" s="96">
        <f t="shared" si="10"/>
        <v>0</v>
      </c>
      <c r="K98" s="96">
        <f t="shared" si="10"/>
        <v>0</v>
      </c>
      <c r="L98" s="97">
        <f t="shared" si="10"/>
        <v>0</v>
      </c>
      <c r="M98" s="62">
        <f>SUM(C74:L74,C98:L98)</f>
        <v>0</v>
      </c>
      <c r="O98" s="57"/>
      <c r="Q98" s="28"/>
      <c r="R98" s="28"/>
      <c r="S98" s="28"/>
      <c r="T98" s="28"/>
      <c r="U98" s="28"/>
      <c r="V98" s="28"/>
      <c r="W98" s="28"/>
      <c r="X98" s="29"/>
    </row>
    <row r="99" spans="1:24" s="22" customFormat="1" ht="18.75">
      <c r="A99" s="190"/>
      <c r="B99" s="191"/>
      <c r="C99" s="24"/>
      <c r="D99" s="24"/>
      <c r="E99" s="24"/>
      <c r="F99" s="24"/>
      <c r="G99" s="24"/>
      <c r="H99" s="24"/>
      <c r="I99" s="24"/>
      <c r="J99" s="24"/>
      <c r="K99" s="24"/>
      <c r="L99" s="24"/>
      <c r="M99" s="24"/>
      <c r="O99" s="57"/>
      <c r="Q99" s="28"/>
      <c r="R99" s="28"/>
      <c r="S99" s="28"/>
      <c r="T99" s="28"/>
      <c r="U99" s="28"/>
      <c r="V99" s="28"/>
      <c r="W99" s="28"/>
      <c r="X99" s="29"/>
    </row>
    <row r="100" spans="1:24" s="22" customFormat="1" ht="18.75">
      <c r="A100" s="184"/>
      <c r="B100" s="185"/>
      <c r="C100" s="24"/>
      <c r="D100" s="24"/>
      <c r="E100" s="24"/>
      <c r="F100" s="24"/>
      <c r="G100" s="24"/>
      <c r="H100" s="24"/>
      <c r="I100" s="24"/>
      <c r="J100" s="24"/>
      <c r="K100" s="24"/>
      <c r="L100" s="24"/>
      <c r="M100" s="24"/>
      <c r="O100" s="57"/>
      <c r="Q100" s="28"/>
      <c r="R100" s="28"/>
      <c r="S100" s="28"/>
      <c r="T100" s="28"/>
      <c r="U100" s="28"/>
      <c r="V100" s="28"/>
      <c r="W100" s="28"/>
      <c r="X100" s="29"/>
    </row>
    <row r="101" spans="1:24" s="22" customFormat="1" ht="19.5">
      <c r="A101" s="103" t="s">
        <v>111</v>
      </c>
      <c r="C101" s="144">
        <f>C$96+NPV($D$46,D$96:$L$96)</f>
        <v>13434444988.770098</v>
      </c>
      <c r="D101" s="145">
        <f>D$96+NPV($D$46,E96:$L$96)</f>
        <v>13306448627.075306</v>
      </c>
      <c r="E101" s="145">
        <f>E$96+NPV($D$46,F96:$L$96)</f>
        <v>11734010027.611378</v>
      </c>
      <c r="F101" s="145">
        <f>F$96+NPV($D$46,G96:$L$96)</f>
        <v>9835652641.777493</v>
      </c>
      <c r="G101" s="145">
        <f>G$96+NPV($D$46,H96:$L$96)</f>
        <v>7546161848.42017</v>
      </c>
      <c r="H101" s="145">
        <f>H$96+NPV($D$46,I96:$L$96)</f>
        <v>4787280018.822758</v>
      </c>
      <c r="I101" s="145">
        <f>I$96+NPV($D$46,J96:$L$96)</f>
        <v>2535007441.8726807</v>
      </c>
      <c r="J101" s="145">
        <f>J$96+NPV($D$46,K96:$L$96)</f>
        <v>896412364.9921781</v>
      </c>
      <c r="K101" s="145">
        <f>K$96+NPV($D$46,L96)</f>
        <v>0</v>
      </c>
      <c r="L101" s="146">
        <f>L96</f>
        <v>0</v>
      </c>
      <c r="M101" s="24"/>
      <c r="O101" s="57"/>
      <c r="Q101" s="28"/>
      <c r="R101" s="28"/>
      <c r="S101" s="28"/>
      <c r="T101" s="28"/>
      <c r="U101" s="28"/>
      <c r="V101" s="28"/>
      <c r="W101" s="28"/>
      <c r="X101" s="29"/>
    </row>
    <row r="102" spans="1:24" s="22" customFormat="1" ht="19.5">
      <c r="A102" s="103" t="s">
        <v>115</v>
      </c>
      <c r="C102" s="149">
        <f>C$98+NPV($D$46,D$98:$L$98)</f>
        <v>0</v>
      </c>
      <c r="D102" s="150">
        <f>D$98+NPV($D$46,E$98:$L$98)</f>
        <v>0</v>
      </c>
      <c r="E102" s="150">
        <f>E$98+NPV($D$46,F$98:$L$98)</f>
        <v>0</v>
      </c>
      <c r="F102" s="150">
        <f>F$98+NPV($D$46,G$98:$L$98)</f>
        <v>0</v>
      </c>
      <c r="G102" s="150">
        <f>G$98+NPV($D$46,H$98:$L$98)</f>
        <v>0</v>
      </c>
      <c r="H102" s="150">
        <f>H$98+NPV($D$46,I$98:$L$98)</f>
        <v>0</v>
      </c>
      <c r="I102" s="150">
        <f>I$98+NPV($D$46,J$98:$L$98)</f>
        <v>0</v>
      </c>
      <c r="J102" s="150">
        <f>J$98+NPV($D$46,K$98:$L$98)</f>
        <v>0</v>
      </c>
      <c r="K102" s="150">
        <f>K$98+NPV($D$46,L$98)</f>
        <v>0</v>
      </c>
      <c r="L102" s="151">
        <f>L$98</f>
        <v>0</v>
      </c>
      <c r="M102" s="24"/>
      <c r="O102" s="57"/>
      <c r="Q102" s="28"/>
      <c r="R102" s="28"/>
      <c r="S102" s="28"/>
      <c r="T102" s="28"/>
      <c r="U102" s="28"/>
      <c r="V102" s="28"/>
      <c r="W102" s="28"/>
      <c r="X102" s="29"/>
    </row>
    <row r="103" spans="1:24" s="22" customFormat="1" ht="20.25" thickBot="1">
      <c r="A103" s="187"/>
      <c r="B103" s="31"/>
      <c r="C103" s="24"/>
      <c r="D103" s="24"/>
      <c r="E103" s="24"/>
      <c r="F103" s="24"/>
      <c r="G103" s="24"/>
      <c r="H103" s="24"/>
      <c r="I103" s="24"/>
      <c r="J103" s="24"/>
      <c r="K103" s="24"/>
      <c r="L103" s="24"/>
      <c r="M103" s="24"/>
      <c r="O103" s="57"/>
      <c r="Q103" s="28"/>
      <c r="R103" s="28"/>
      <c r="S103" s="28"/>
      <c r="T103" s="28"/>
      <c r="U103" s="28"/>
      <c r="V103" s="28"/>
      <c r="W103" s="28"/>
      <c r="X103" s="29"/>
    </row>
    <row r="104" spans="1:24" s="22" customFormat="1" ht="20.25" thickBot="1">
      <c r="A104" s="186" t="s">
        <v>117</v>
      </c>
      <c r="B104" s="6"/>
      <c r="C104" s="141">
        <f aca="true" t="shared" si="11" ref="C104:K104">SUM(C101:C102)</f>
        <v>13434444988.770098</v>
      </c>
      <c r="D104" s="142">
        <f t="shared" si="11"/>
        <v>13306448627.075306</v>
      </c>
      <c r="E104" s="142">
        <f t="shared" si="11"/>
        <v>11734010027.611378</v>
      </c>
      <c r="F104" s="142">
        <f t="shared" si="11"/>
        <v>9835652641.777493</v>
      </c>
      <c r="G104" s="142">
        <f t="shared" si="11"/>
        <v>7546161848.42017</v>
      </c>
      <c r="H104" s="142">
        <f t="shared" si="11"/>
        <v>4787280018.822758</v>
      </c>
      <c r="I104" s="142">
        <f t="shared" si="11"/>
        <v>2535007441.8726807</v>
      </c>
      <c r="J104" s="142">
        <f t="shared" si="11"/>
        <v>896412364.9921781</v>
      </c>
      <c r="K104" s="142">
        <f t="shared" si="11"/>
        <v>0</v>
      </c>
      <c r="L104" s="143">
        <f>SUM(L101:L102)</f>
        <v>0</v>
      </c>
      <c r="M104" s="24"/>
      <c r="O104" s="57"/>
      <c r="Q104" s="28"/>
      <c r="R104" s="28"/>
      <c r="S104" s="28"/>
      <c r="T104" s="28"/>
      <c r="U104" s="28"/>
      <c r="V104" s="28"/>
      <c r="W104" s="28"/>
      <c r="X104" s="29"/>
    </row>
    <row r="105" spans="1:24" s="22" customFormat="1" ht="18.75">
      <c r="A105" s="188"/>
      <c r="B105" s="189"/>
      <c r="C105" s="24"/>
      <c r="D105" s="24"/>
      <c r="E105" s="24"/>
      <c r="F105" s="24"/>
      <c r="G105" s="24"/>
      <c r="H105" s="24"/>
      <c r="I105" s="24"/>
      <c r="J105" s="24"/>
      <c r="K105" s="24"/>
      <c r="L105" s="24"/>
      <c r="M105" s="24"/>
      <c r="O105" s="57"/>
      <c r="Q105" s="28"/>
      <c r="R105" s="28"/>
      <c r="S105" s="28"/>
      <c r="T105" s="28"/>
      <c r="U105" s="28"/>
      <c r="V105" s="28"/>
      <c r="W105" s="28"/>
      <c r="X105" s="29"/>
    </row>
    <row r="106" s="22" customFormat="1" ht="18.75">
      <c r="O106" s="3"/>
    </row>
    <row r="107" s="22" customFormat="1" ht="18.75">
      <c r="O107" s="3"/>
    </row>
    <row r="108" s="22" customFormat="1" ht="18.75">
      <c r="O108" s="3"/>
    </row>
    <row r="109" s="22" customFormat="1" ht="18.75">
      <c r="O109" s="3"/>
    </row>
    <row r="110" s="22" customFormat="1" ht="18.75">
      <c r="O110" s="3"/>
    </row>
    <row r="111" s="22" customFormat="1" ht="18.75">
      <c r="O111" s="3"/>
    </row>
    <row r="112" s="22" customFormat="1" ht="18.75">
      <c r="O112" s="3"/>
    </row>
    <row r="113" s="22" customFormat="1" ht="18.75">
      <c r="O113" s="3"/>
    </row>
    <row r="114" spans="1:15" s="22" customFormat="1" ht="32.25" customHeight="1">
      <c r="A114" s="249" t="str">
        <f>+Description!C7</f>
        <v>REVENUE FORECAST - PV - This page provides a 20 year revenue forecast for the drug or diagnostic.  Note that even though the revenue analysis begins in the current year, revenue is not recognized in the analysis until the product reaches the market.  Revenue is recognized according to the value of "Years of Revenue" on the data entry page. </v>
      </c>
      <c r="B114" s="250"/>
      <c r="C114" s="250"/>
      <c r="D114" s="250"/>
      <c r="E114" s="250"/>
      <c r="F114" s="250"/>
      <c r="G114" s="250"/>
      <c r="H114" s="250"/>
      <c r="I114" s="250"/>
      <c r="J114" s="250"/>
      <c r="K114" s="250"/>
      <c r="L114" s="250"/>
      <c r="M114" s="250"/>
      <c r="O114" s="3"/>
    </row>
    <row r="115" spans="1:15" s="22" customFormat="1" ht="18" customHeight="1">
      <c r="A115" s="250"/>
      <c r="B115" s="250"/>
      <c r="C115" s="250"/>
      <c r="D115" s="250"/>
      <c r="E115" s="250"/>
      <c r="F115" s="250"/>
      <c r="G115" s="250"/>
      <c r="H115" s="250"/>
      <c r="I115" s="250"/>
      <c r="J115" s="250"/>
      <c r="K115" s="250"/>
      <c r="L115" s="250"/>
      <c r="M115" s="250"/>
      <c r="O115" s="3"/>
    </row>
    <row r="116" spans="1:15" s="22" customFormat="1" ht="43.5" customHeight="1">
      <c r="A116" s="248" t="s">
        <v>96</v>
      </c>
      <c r="B116" s="249"/>
      <c r="C116" s="249"/>
      <c r="D116" s="249"/>
      <c r="E116" s="249"/>
      <c r="F116" s="249"/>
      <c r="G116" s="249"/>
      <c r="H116" s="249"/>
      <c r="I116" s="249"/>
      <c r="J116" s="249"/>
      <c r="K116" s="249"/>
      <c r="L116" s="249"/>
      <c r="M116" s="249"/>
      <c r="O116" s="3"/>
    </row>
    <row r="117" spans="1:15" s="22" customFormat="1" ht="18.75">
      <c r="A117" s="249"/>
      <c r="B117" s="249"/>
      <c r="C117" s="249"/>
      <c r="D117" s="249"/>
      <c r="E117" s="249"/>
      <c r="F117" s="249"/>
      <c r="G117" s="249"/>
      <c r="H117" s="249"/>
      <c r="I117" s="249"/>
      <c r="J117" s="249"/>
      <c r="K117" s="249"/>
      <c r="L117" s="249"/>
      <c r="M117" s="249"/>
      <c r="O117" s="3"/>
    </row>
    <row r="118" spans="1:14" ht="33.75">
      <c r="A118" s="109" t="s">
        <v>75</v>
      </c>
      <c r="B118" s="41"/>
      <c r="C118" s="42"/>
      <c r="M118" s="84" t="str">
        <f>+$M$1</f>
        <v>Company/Institution  Name</v>
      </c>
      <c r="N118" s="4"/>
    </row>
    <row r="119" spans="1:14" ht="27.75">
      <c r="A119" s="39" t="str">
        <f>+A2</f>
        <v>Biotechnology Name</v>
      </c>
      <c r="B119" s="40"/>
      <c r="C119" s="39"/>
      <c r="M119" s="176" t="s">
        <v>25</v>
      </c>
      <c r="N119" s="4"/>
    </row>
    <row r="120" spans="13:14" ht="23.25">
      <c r="M120" s="80" t="str">
        <f>+$M$3</f>
        <v>Draft 1.0</v>
      </c>
      <c r="N120" s="4"/>
    </row>
    <row r="121" spans="1:14" ht="17.25" customHeight="1">
      <c r="A121" s="42"/>
      <c r="B121" s="41"/>
      <c r="C121" s="36" t="s">
        <v>14</v>
      </c>
      <c r="N121" s="4"/>
    </row>
    <row r="122" spans="3:24" s="22" customFormat="1" ht="18.75">
      <c r="C122" s="36" t="s">
        <v>6</v>
      </c>
      <c r="E122" s="36"/>
      <c r="F122" s="36"/>
      <c r="G122" s="36"/>
      <c r="H122" s="36"/>
      <c r="I122" s="36"/>
      <c r="J122" s="36"/>
      <c r="K122" s="36"/>
      <c r="L122" s="36"/>
      <c r="M122" s="36"/>
      <c r="N122" s="36"/>
      <c r="O122" s="18"/>
      <c r="P122" s="36"/>
      <c r="Q122" s="36"/>
      <c r="R122" s="36"/>
      <c r="S122" s="36"/>
      <c r="T122" s="36"/>
      <c r="U122" s="36"/>
      <c r="V122" s="36"/>
      <c r="W122" s="36"/>
      <c r="X122" s="37"/>
    </row>
    <row r="123" spans="3:13" s="22" customFormat="1" ht="19.5">
      <c r="C123" s="49" t="s">
        <v>1</v>
      </c>
      <c r="D123" s="105"/>
      <c r="E123" s="36"/>
      <c r="F123" s="36"/>
      <c r="G123" s="36"/>
      <c r="H123" s="36"/>
      <c r="I123" s="36"/>
      <c r="J123" s="36"/>
      <c r="K123" s="36"/>
      <c r="L123" s="36"/>
      <c r="M123" s="36"/>
    </row>
    <row r="124" spans="1:13" s="22" customFormat="1" ht="23.25">
      <c r="A124" s="207" t="s">
        <v>13</v>
      </c>
      <c r="B124" s="207"/>
      <c r="C124" s="119">
        <v>1</v>
      </c>
      <c r="D124" s="120">
        <f aca="true" t="shared" si="12" ref="D124:L124">1+C124</f>
        <v>2</v>
      </c>
      <c r="E124" s="68">
        <f t="shared" si="12"/>
        <v>3</v>
      </c>
      <c r="F124" s="68">
        <f t="shared" si="12"/>
        <v>4</v>
      </c>
      <c r="G124" s="68">
        <f t="shared" si="12"/>
        <v>5</v>
      </c>
      <c r="H124" s="68">
        <f t="shared" si="12"/>
        <v>6</v>
      </c>
      <c r="I124" s="68">
        <f t="shared" si="12"/>
        <v>7</v>
      </c>
      <c r="J124" s="68">
        <f t="shared" si="12"/>
        <v>8</v>
      </c>
      <c r="K124" s="68">
        <f t="shared" si="12"/>
        <v>9</v>
      </c>
      <c r="L124" s="69">
        <f t="shared" si="12"/>
        <v>10</v>
      </c>
      <c r="M124" s="65"/>
    </row>
    <row r="125" spans="1:13" s="3" customFormat="1" ht="18.75" customHeight="1">
      <c r="A125" s="46"/>
      <c r="C125" s="21"/>
      <c r="D125" s="21"/>
      <c r="E125" s="21"/>
      <c r="F125" s="21"/>
      <c r="G125" s="21"/>
      <c r="H125" s="21"/>
      <c r="I125" s="21"/>
      <c r="J125" s="21"/>
      <c r="K125" s="21"/>
      <c r="L125" s="21"/>
      <c r="M125" s="63"/>
    </row>
    <row r="126" spans="1:13" s="3" customFormat="1" ht="18.75" customHeight="1">
      <c r="A126" s="103" t="s">
        <v>37</v>
      </c>
      <c r="B126" s="22"/>
      <c r="C126" s="154" t="str">
        <f aca="true" t="shared" si="13" ref="C126:L126">IF(C124&gt;$L$15,0,IF(C124&gt;$L$13,"Revenue",IF(C124&gt;$L$12,"FDA",IF(C124&gt;$L$11,"Phase 3",IF(C124&gt;$L$10,"Phase 2",IF(C124&gt;$L$9,"Phase 1","Preclinical"))))))</f>
        <v>Preclinical</v>
      </c>
      <c r="D126" s="155" t="str">
        <f t="shared" si="13"/>
        <v>Phase 1</v>
      </c>
      <c r="E126" s="155" t="str">
        <f t="shared" si="13"/>
        <v>Phase 2</v>
      </c>
      <c r="F126" s="155" t="str">
        <f t="shared" si="13"/>
        <v>Phase 2</v>
      </c>
      <c r="G126" s="155" t="str">
        <f t="shared" si="13"/>
        <v>Phase 3</v>
      </c>
      <c r="H126" s="155" t="str">
        <f t="shared" si="13"/>
        <v>Phase 3</v>
      </c>
      <c r="I126" s="155" t="str">
        <f t="shared" si="13"/>
        <v>Phase 3</v>
      </c>
      <c r="J126" s="155" t="str">
        <f t="shared" si="13"/>
        <v>FDA</v>
      </c>
      <c r="K126" s="155" t="str">
        <f t="shared" si="13"/>
        <v>FDA</v>
      </c>
      <c r="L126" s="158" t="str">
        <f t="shared" si="13"/>
        <v>Revenue</v>
      </c>
      <c r="M126" s="67"/>
    </row>
    <row r="127" spans="1:13" s="22" customFormat="1" ht="19.5">
      <c r="A127" s="25"/>
      <c r="B127" s="33"/>
      <c r="C127" s="26"/>
      <c r="D127" s="26"/>
      <c r="E127" s="26"/>
      <c r="F127" s="26"/>
      <c r="G127" s="26"/>
      <c r="H127" s="26"/>
      <c r="I127" s="26"/>
      <c r="J127" s="26"/>
      <c r="K127" s="26"/>
      <c r="L127" s="26"/>
      <c r="M127" s="26"/>
    </row>
    <row r="128" spans="1:13" s="3" customFormat="1" ht="18.75" customHeight="1">
      <c r="A128" s="103" t="s">
        <v>112</v>
      </c>
      <c r="B128" s="22"/>
      <c r="C128" s="144">
        <f aca="true" t="shared" si="14" ref="C128:L128">+C72</f>
        <v>0</v>
      </c>
      <c r="D128" s="145">
        <f t="shared" si="14"/>
        <v>0</v>
      </c>
      <c r="E128" s="145">
        <f t="shared" si="14"/>
        <v>0</v>
      </c>
      <c r="F128" s="145">
        <f t="shared" si="14"/>
        <v>0</v>
      </c>
      <c r="G128" s="145">
        <f t="shared" si="14"/>
        <v>0</v>
      </c>
      <c r="H128" s="145">
        <f t="shared" si="14"/>
        <v>0</v>
      </c>
      <c r="I128" s="145">
        <f t="shared" si="14"/>
        <v>0</v>
      </c>
      <c r="J128" s="145">
        <f t="shared" si="14"/>
        <v>0</v>
      </c>
      <c r="K128" s="145">
        <f t="shared" si="14"/>
        <v>0</v>
      </c>
      <c r="L128" s="146">
        <f t="shared" si="14"/>
        <v>1169710680.931823</v>
      </c>
      <c r="M128" s="63"/>
    </row>
    <row r="129" spans="1:13" s="3" customFormat="1" ht="18.75" customHeight="1">
      <c r="A129" s="103" t="s">
        <v>118</v>
      </c>
      <c r="C129" s="102">
        <f>C74</f>
        <v>0</v>
      </c>
      <c r="D129" s="159">
        <f aca="true" t="shared" si="15" ref="D129:L129">D74</f>
        <v>0</v>
      </c>
      <c r="E129" s="159">
        <f t="shared" si="15"/>
        <v>0</v>
      </c>
      <c r="F129" s="159">
        <f t="shared" si="15"/>
        <v>0</v>
      </c>
      <c r="G129" s="159">
        <f t="shared" si="15"/>
        <v>0</v>
      </c>
      <c r="H129" s="159">
        <f t="shared" si="15"/>
        <v>0</v>
      </c>
      <c r="I129" s="159">
        <f t="shared" si="15"/>
        <v>0</v>
      </c>
      <c r="J129" s="159">
        <f t="shared" si="15"/>
        <v>0</v>
      </c>
      <c r="K129" s="159">
        <f t="shared" si="15"/>
        <v>0</v>
      </c>
      <c r="L129" s="171">
        <f t="shared" si="15"/>
        <v>0</v>
      </c>
      <c r="M129" s="63"/>
    </row>
    <row r="130" spans="1:13" s="3" customFormat="1" ht="18.75" customHeight="1">
      <c r="A130" s="22"/>
      <c r="B130" s="22"/>
      <c r="C130" s="22"/>
      <c r="D130" s="22"/>
      <c r="E130" s="22"/>
      <c r="F130" s="22"/>
      <c r="G130" s="22"/>
      <c r="H130" s="22"/>
      <c r="I130" s="22"/>
      <c r="J130" s="22"/>
      <c r="K130" s="22"/>
      <c r="L130" s="22"/>
      <c r="M130" s="51"/>
    </row>
    <row r="131" spans="1:13" s="3" customFormat="1" ht="18.75" customHeight="1">
      <c r="A131" s="103" t="s">
        <v>68</v>
      </c>
      <c r="B131" s="160" t="s">
        <v>38</v>
      </c>
      <c r="C131" s="38"/>
      <c r="D131" s="24"/>
      <c r="E131" s="24"/>
      <c r="F131" s="24"/>
      <c r="G131" s="24"/>
      <c r="H131" s="24"/>
      <c r="I131" s="24"/>
      <c r="J131" s="24"/>
      <c r="K131" s="24"/>
      <c r="L131" s="24"/>
      <c r="M131" s="51"/>
    </row>
    <row r="132" spans="1:13" s="3" customFormat="1" ht="18.75" customHeight="1">
      <c r="A132" s="3" t="s">
        <v>35</v>
      </c>
      <c r="B132" s="152">
        <f>$D$32</f>
        <v>10000</v>
      </c>
      <c r="C132" s="144">
        <f aca="true" t="shared" si="16" ref="C132:L132">IF(OR(C$126="Revenue",C$126=0),0,$B132)</f>
        <v>10000</v>
      </c>
      <c r="D132" s="145">
        <f t="shared" si="16"/>
        <v>10000</v>
      </c>
      <c r="E132" s="145">
        <f t="shared" si="16"/>
        <v>10000</v>
      </c>
      <c r="F132" s="145">
        <f t="shared" si="16"/>
        <v>10000</v>
      </c>
      <c r="G132" s="145">
        <f t="shared" si="16"/>
        <v>10000</v>
      </c>
      <c r="H132" s="145">
        <f t="shared" si="16"/>
        <v>10000</v>
      </c>
      <c r="I132" s="145">
        <f t="shared" si="16"/>
        <v>10000</v>
      </c>
      <c r="J132" s="145">
        <f t="shared" si="16"/>
        <v>10000</v>
      </c>
      <c r="K132" s="145">
        <f t="shared" si="16"/>
        <v>10000</v>
      </c>
      <c r="L132" s="145">
        <f t="shared" si="16"/>
        <v>0</v>
      </c>
      <c r="M132" s="66"/>
    </row>
    <row r="133" spans="1:13" s="3" customFormat="1" ht="18.75" customHeight="1">
      <c r="A133" s="3" t="s">
        <v>34</v>
      </c>
      <c r="B133" s="152">
        <f>IF(+D24=0,0,$D$33)</f>
        <v>500000</v>
      </c>
      <c r="C133" s="147">
        <f aca="true" t="shared" si="17" ref="C133:L133">IF(C$126="Preclinical",$B133,0)</f>
        <v>500000</v>
      </c>
      <c r="D133" s="94">
        <f t="shared" si="17"/>
        <v>0</v>
      </c>
      <c r="E133" s="94">
        <f t="shared" si="17"/>
        <v>0</v>
      </c>
      <c r="F133" s="94">
        <f t="shared" si="17"/>
        <v>0</v>
      </c>
      <c r="G133" s="94">
        <f t="shared" si="17"/>
        <v>0</v>
      </c>
      <c r="H133" s="94">
        <f t="shared" si="17"/>
        <v>0</v>
      </c>
      <c r="I133" s="94">
        <f t="shared" si="17"/>
        <v>0</v>
      </c>
      <c r="J133" s="94">
        <f t="shared" si="17"/>
        <v>0</v>
      </c>
      <c r="K133" s="94">
        <f t="shared" si="17"/>
        <v>0</v>
      </c>
      <c r="L133" s="94">
        <f t="shared" si="17"/>
        <v>0</v>
      </c>
      <c r="M133" s="66"/>
    </row>
    <row r="134" spans="1:13" s="3" customFormat="1" ht="18.75" customHeight="1">
      <c r="A134" s="3" t="s">
        <v>62</v>
      </c>
      <c r="B134" s="152">
        <f>IF(+D25=0,0,$D$34*D18/D25)</f>
        <v>600000</v>
      </c>
      <c r="C134" s="147">
        <f aca="true" t="shared" si="18" ref="C134:L134">IF(C$126="Phase 1",$B134,0)</f>
        <v>0</v>
      </c>
      <c r="D134" s="94">
        <f t="shared" si="18"/>
        <v>600000</v>
      </c>
      <c r="E134" s="94">
        <f t="shared" si="18"/>
        <v>0</v>
      </c>
      <c r="F134" s="94">
        <f t="shared" si="18"/>
        <v>0</v>
      </c>
      <c r="G134" s="94">
        <f t="shared" si="18"/>
        <v>0</v>
      </c>
      <c r="H134" s="94">
        <f t="shared" si="18"/>
        <v>0</v>
      </c>
      <c r="I134" s="94">
        <f t="shared" si="18"/>
        <v>0</v>
      </c>
      <c r="J134" s="94">
        <f t="shared" si="18"/>
        <v>0</v>
      </c>
      <c r="K134" s="94">
        <f t="shared" si="18"/>
        <v>0</v>
      </c>
      <c r="L134" s="94">
        <f t="shared" si="18"/>
        <v>0</v>
      </c>
      <c r="M134" s="66"/>
    </row>
    <row r="135" spans="1:13" s="3" customFormat="1" ht="18.75" customHeight="1">
      <c r="A135" s="3" t="s">
        <v>58</v>
      </c>
      <c r="B135" s="152">
        <f>IF(D26=0,0,$D$35*D19/D26)</f>
        <v>1200000</v>
      </c>
      <c r="C135" s="147">
        <f aca="true" t="shared" si="19" ref="C135:L135">IF(C$126="Phase 2",$B135,0)</f>
        <v>0</v>
      </c>
      <c r="D135" s="94">
        <f t="shared" si="19"/>
        <v>0</v>
      </c>
      <c r="E135" s="94">
        <f t="shared" si="19"/>
        <v>1200000</v>
      </c>
      <c r="F135" s="94">
        <f t="shared" si="19"/>
        <v>1200000</v>
      </c>
      <c r="G135" s="94">
        <f t="shared" si="19"/>
        <v>0</v>
      </c>
      <c r="H135" s="94">
        <f t="shared" si="19"/>
        <v>0</v>
      </c>
      <c r="I135" s="94">
        <f t="shared" si="19"/>
        <v>0</v>
      </c>
      <c r="J135" s="94">
        <f t="shared" si="19"/>
        <v>0</v>
      </c>
      <c r="K135" s="94">
        <f t="shared" si="19"/>
        <v>0</v>
      </c>
      <c r="L135" s="94">
        <f t="shared" si="19"/>
        <v>0</v>
      </c>
      <c r="M135" s="66"/>
    </row>
    <row r="136" spans="1:13" s="3" customFormat="1" ht="18.75" customHeight="1">
      <c r="A136" s="3" t="s">
        <v>54</v>
      </c>
      <c r="B136" s="152">
        <f>IF(D27=0,0,$D$36*D20/D27)</f>
        <v>4000000</v>
      </c>
      <c r="C136" s="147">
        <f aca="true" t="shared" si="20" ref="C136:L136">IF(C$126="Phase 3",$B136,0)</f>
        <v>0</v>
      </c>
      <c r="D136" s="94">
        <f t="shared" si="20"/>
        <v>0</v>
      </c>
      <c r="E136" s="94">
        <f t="shared" si="20"/>
        <v>0</v>
      </c>
      <c r="F136" s="94">
        <f t="shared" si="20"/>
        <v>0</v>
      </c>
      <c r="G136" s="94">
        <f t="shared" si="20"/>
        <v>4000000</v>
      </c>
      <c r="H136" s="94">
        <f t="shared" si="20"/>
        <v>4000000</v>
      </c>
      <c r="I136" s="94">
        <f t="shared" si="20"/>
        <v>4000000</v>
      </c>
      <c r="J136" s="94">
        <f t="shared" si="20"/>
        <v>0</v>
      </c>
      <c r="K136" s="94">
        <f t="shared" si="20"/>
        <v>0</v>
      </c>
      <c r="L136" s="94">
        <f t="shared" si="20"/>
        <v>0</v>
      </c>
      <c r="M136" s="66"/>
    </row>
    <row r="137" spans="1:13" s="3" customFormat="1" ht="18.75" customHeight="1">
      <c r="A137" s="3" t="s">
        <v>7</v>
      </c>
      <c r="B137" s="153">
        <f>IF(D28=0,0,$D$37/D28)</f>
        <v>650000</v>
      </c>
      <c r="C137" s="94">
        <f>IF(C$126="FDA",$B137/$D28,0)</f>
        <v>0</v>
      </c>
      <c r="D137" s="94">
        <f>IF(D$126="FDA",$B137/$D28,0)</f>
        <v>0</v>
      </c>
      <c r="E137" s="94">
        <f aca="true" t="shared" si="21" ref="E137:L137">IF(E$126="FDA",$B137/$D28,0)</f>
        <v>0</v>
      </c>
      <c r="F137" s="94">
        <f t="shared" si="21"/>
        <v>0</v>
      </c>
      <c r="G137" s="94">
        <f t="shared" si="21"/>
        <v>0</v>
      </c>
      <c r="H137" s="94">
        <f t="shared" si="21"/>
        <v>0</v>
      </c>
      <c r="I137" s="94">
        <f t="shared" si="21"/>
        <v>0</v>
      </c>
      <c r="J137" s="94">
        <f t="shared" si="21"/>
        <v>325000</v>
      </c>
      <c r="K137" s="94">
        <f t="shared" si="21"/>
        <v>325000</v>
      </c>
      <c r="L137" s="94">
        <f t="shared" si="21"/>
        <v>0</v>
      </c>
      <c r="M137" s="66"/>
    </row>
    <row r="138" spans="1:13" s="3" customFormat="1" ht="18.75" customHeight="1">
      <c r="A138" s="3" t="s">
        <v>104</v>
      </c>
      <c r="B138" s="152">
        <f>IF(D25=0,0,$D$38/D25)</f>
        <v>500000</v>
      </c>
      <c r="C138" s="147">
        <f aca="true" t="shared" si="22" ref="C138:L138">IF(C$126="Phase 1",IF(B$126="Phase 1",0,$B138),0)</f>
        <v>0</v>
      </c>
      <c r="D138" s="94">
        <f t="shared" si="22"/>
        <v>500000</v>
      </c>
      <c r="E138" s="94">
        <f t="shared" si="22"/>
        <v>0</v>
      </c>
      <c r="F138" s="94">
        <f t="shared" si="22"/>
        <v>0</v>
      </c>
      <c r="G138" s="94">
        <f t="shared" si="22"/>
        <v>0</v>
      </c>
      <c r="H138" s="94">
        <f t="shared" si="22"/>
        <v>0</v>
      </c>
      <c r="I138" s="94">
        <f t="shared" si="22"/>
        <v>0</v>
      </c>
      <c r="J138" s="94">
        <f t="shared" si="22"/>
        <v>0</v>
      </c>
      <c r="K138" s="94">
        <f t="shared" si="22"/>
        <v>0</v>
      </c>
      <c r="L138" s="94">
        <f t="shared" si="22"/>
        <v>0</v>
      </c>
      <c r="M138" s="66"/>
    </row>
    <row r="139" spans="1:13" s="3" customFormat="1" ht="18.75" customHeight="1">
      <c r="A139" s="3" t="s">
        <v>105</v>
      </c>
      <c r="B139" s="152">
        <f>IF(D26=0,0,$D$39/D26)</f>
        <v>500000</v>
      </c>
      <c r="C139" s="147">
        <f aca="true" t="shared" si="23" ref="C139:L139">IF(C$126="Phase 2",$B$139,)</f>
        <v>0</v>
      </c>
      <c r="D139" s="94">
        <f t="shared" si="23"/>
        <v>0</v>
      </c>
      <c r="E139" s="94">
        <f t="shared" si="23"/>
        <v>500000</v>
      </c>
      <c r="F139" s="94">
        <f t="shared" si="23"/>
        <v>500000</v>
      </c>
      <c r="G139" s="94">
        <f t="shared" si="23"/>
        <v>0</v>
      </c>
      <c r="H139" s="94">
        <f t="shared" si="23"/>
        <v>0</v>
      </c>
      <c r="I139" s="94">
        <f t="shared" si="23"/>
        <v>0</v>
      </c>
      <c r="J139" s="94">
        <f t="shared" si="23"/>
        <v>0</v>
      </c>
      <c r="K139" s="94">
        <f t="shared" si="23"/>
        <v>0</v>
      </c>
      <c r="L139" s="94">
        <f t="shared" si="23"/>
        <v>0</v>
      </c>
      <c r="M139" s="66"/>
    </row>
    <row r="140" spans="1:13" s="3" customFormat="1" ht="18.75" customHeight="1">
      <c r="A140" s="3" t="s">
        <v>106</v>
      </c>
      <c r="B140" s="152">
        <f>IF(D25=0,0,IF(D27=1,$D$40,$D$40/2))</f>
        <v>750000</v>
      </c>
      <c r="C140" s="147">
        <f aca="true" t="shared" si="24" ref="C140:L140">IF(C$126="Phase 3",IF(B$126="Phase 3",IF(A$126="Phase 3",0,$B140),$B140),0)</f>
        <v>0</v>
      </c>
      <c r="D140" s="94">
        <f t="shared" si="24"/>
        <v>0</v>
      </c>
      <c r="E140" s="94">
        <f t="shared" si="24"/>
        <v>0</v>
      </c>
      <c r="F140" s="94">
        <f t="shared" si="24"/>
        <v>0</v>
      </c>
      <c r="G140" s="94">
        <f t="shared" si="24"/>
        <v>750000</v>
      </c>
      <c r="H140" s="94">
        <f t="shared" si="24"/>
        <v>750000</v>
      </c>
      <c r="I140" s="94">
        <f t="shared" si="24"/>
        <v>0</v>
      </c>
      <c r="J140" s="94">
        <f t="shared" si="24"/>
        <v>0</v>
      </c>
      <c r="K140" s="94">
        <f t="shared" si="24"/>
        <v>0</v>
      </c>
      <c r="L140" s="94">
        <f t="shared" si="24"/>
        <v>0</v>
      </c>
      <c r="M140" s="66"/>
    </row>
    <row r="141" spans="1:13" s="3" customFormat="1" ht="18.75" customHeight="1">
      <c r="A141" s="3" t="s">
        <v>18</v>
      </c>
      <c r="B141" s="59">
        <f>$D$41</f>
        <v>0.6</v>
      </c>
      <c r="C141" s="147">
        <f aca="true" t="shared" si="25" ref="C141:L142">IF(C$126="Revenue",$B141*C$128,0)</f>
        <v>0</v>
      </c>
      <c r="D141" s="94">
        <f t="shared" si="25"/>
        <v>0</v>
      </c>
      <c r="E141" s="94">
        <f t="shared" si="25"/>
        <v>0</v>
      </c>
      <c r="F141" s="94">
        <f t="shared" si="25"/>
        <v>0</v>
      </c>
      <c r="G141" s="94">
        <f t="shared" si="25"/>
        <v>0</v>
      </c>
      <c r="H141" s="94">
        <f t="shared" si="25"/>
        <v>0</v>
      </c>
      <c r="I141" s="94">
        <f t="shared" si="25"/>
        <v>0</v>
      </c>
      <c r="J141" s="94">
        <f t="shared" si="25"/>
        <v>0</v>
      </c>
      <c r="K141" s="94">
        <f t="shared" si="25"/>
        <v>0</v>
      </c>
      <c r="L141" s="94">
        <f t="shared" si="25"/>
        <v>701826408.5590938</v>
      </c>
      <c r="M141" s="66"/>
    </row>
    <row r="142" spans="1:13" s="3" customFormat="1" ht="18.75" customHeight="1">
      <c r="A142" s="3" t="s">
        <v>47</v>
      </c>
      <c r="B142" s="59">
        <f>$D$45</f>
        <v>0.05</v>
      </c>
      <c r="C142" s="147">
        <f t="shared" si="25"/>
        <v>0</v>
      </c>
      <c r="D142" s="94">
        <f t="shared" si="25"/>
        <v>0</v>
      </c>
      <c r="E142" s="94">
        <f t="shared" si="25"/>
        <v>0</v>
      </c>
      <c r="F142" s="94">
        <f t="shared" si="25"/>
        <v>0</v>
      </c>
      <c r="G142" s="94">
        <f t="shared" si="25"/>
        <v>0</v>
      </c>
      <c r="H142" s="94">
        <f t="shared" si="25"/>
        <v>0</v>
      </c>
      <c r="I142" s="94">
        <f t="shared" si="25"/>
        <v>0</v>
      </c>
      <c r="J142" s="94">
        <f t="shared" si="25"/>
        <v>0</v>
      </c>
      <c r="K142" s="94">
        <f t="shared" si="25"/>
        <v>0</v>
      </c>
      <c r="L142" s="94">
        <f t="shared" si="25"/>
        <v>58485534.046591155</v>
      </c>
      <c r="M142" s="66"/>
    </row>
    <row r="143" spans="1:13" s="3" customFormat="1" ht="18.75" customHeight="1">
      <c r="A143" s="19" t="s">
        <v>9</v>
      </c>
      <c r="B143" s="75"/>
      <c r="C143" s="149">
        <v>0</v>
      </c>
      <c r="D143" s="150">
        <v>0</v>
      </c>
      <c r="E143" s="150">
        <v>0</v>
      </c>
      <c r="F143" s="150">
        <v>0</v>
      </c>
      <c r="G143" s="150">
        <v>0</v>
      </c>
      <c r="H143" s="150">
        <v>0</v>
      </c>
      <c r="I143" s="150">
        <v>0</v>
      </c>
      <c r="J143" s="150">
        <v>0</v>
      </c>
      <c r="K143" s="150">
        <v>0</v>
      </c>
      <c r="L143" s="150">
        <v>0</v>
      </c>
      <c r="M143" s="66"/>
    </row>
    <row r="144" spans="1:13" s="3" customFormat="1" ht="18.75" customHeight="1">
      <c r="A144" s="103" t="s">
        <v>8</v>
      </c>
      <c r="B144" s="22"/>
      <c r="C144" s="94">
        <f aca="true" t="shared" si="26" ref="C144:L144">SUM(C132:C143)</f>
        <v>510000</v>
      </c>
      <c r="D144" s="94">
        <f t="shared" si="26"/>
        <v>1110000</v>
      </c>
      <c r="E144" s="94">
        <f t="shared" si="26"/>
        <v>1710000</v>
      </c>
      <c r="F144" s="94">
        <f t="shared" si="26"/>
        <v>1710000</v>
      </c>
      <c r="G144" s="94">
        <f t="shared" si="26"/>
        <v>4760000</v>
      </c>
      <c r="H144" s="94">
        <f t="shared" si="26"/>
        <v>4760000</v>
      </c>
      <c r="I144" s="94">
        <f t="shared" si="26"/>
        <v>4010000</v>
      </c>
      <c r="J144" s="94">
        <f t="shared" si="26"/>
        <v>335000</v>
      </c>
      <c r="K144" s="94">
        <f t="shared" si="26"/>
        <v>335000</v>
      </c>
      <c r="L144" s="94">
        <f t="shared" si="26"/>
        <v>760311942.605685</v>
      </c>
      <c r="M144" s="63"/>
    </row>
    <row r="145" spans="1:13" s="3" customFormat="1" ht="18.75" customHeight="1" thickBot="1">
      <c r="A145" s="31"/>
      <c r="B145" s="31"/>
      <c r="C145" s="22"/>
      <c r="D145" s="22"/>
      <c r="E145" s="22"/>
      <c r="F145" s="22"/>
      <c r="G145" s="22"/>
      <c r="H145" s="22"/>
      <c r="I145" s="22"/>
      <c r="J145" s="22"/>
      <c r="K145" s="22"/>
      <c r="L145" s="22"/>
      <c r="M145" s="51"/>
    </row>
    <row r="146" spans="1:13" s="3" customFormat="1" ht="18.75" customHeight="1" thickBot="1">
      <c r="A146" s="22" t="s">
        <v>11</v>
      </c>
      <c r="B146" s="157"/>
      <c r="C146" s="141">
        <f aca="true" t="shared" si="27" ref="C146:L146">C128+C74-C144</f>
        <v>-510000</v>
      </c>
      <c r="D146" s="142">
        <f t="shared" si="27"/>
        <v>-1110000</v>
      </c>
      <c r="E146" s="142">
        <f t="shared" si="27"/>
        <v>-1710000</v>
      </c>
      <c r="F146" s="142">
        <f t="shared" si="27"/>
        <v>-1710000</v>
      </c>
      <c r="G146" s="142">
        <f t="shared" si="27"/>
        <v>-4760000</v>
      </c>
      <c r="H146" s="142">
        <f t="shared" si="27"/>
        <v>-4760000</v>
      </c>
      <c r="I146" s="142">
        <f t="shared" si="27"/>
        <v>-4010000</v>
      </c>
      <c r="J146" s="142">
        <f t="shared" si="27"/>
        <v>-335000</v>
      </c>
      <c r="K146" s="142">
        <f t="shared" si="27"/>
        <v>-335000</v>
      </c>
      <c r="L146" s="143">
        <f t="shared" si="27"/>
        <v>409398738.326138</v>
      </c>
      <c r="M146" s="64"/>
    </row>
    <row r="147" spans="1:13" s="3" customFormat="1" ht="18.75" customHeight="1">
      <c r="A147" s="22" t="s">
        <v>17</v>
      </c>
      <c r="B147" s="22"/>
      <c r="C147" s="29">
        <f>+C146</f>
        <v>-510000</v>
      </c>
      <c r="D147" s="29">
        <f aca="true" t="shared" si="28" ref="D147:L147">+D146+C147</f>
        <v>-1620000</v>
      </c>
      <c r="E147" s="29">
        <f t="shared" si="28"/>
        <v>-3330000</v>
      </c>
      <c r="F147" s="29">
        <f t="shared" si="28"/>
        <v>-5040000</v>
      </c>
      <c r="G147" s="29">
        <f t="shared" si="28"/>
        <v>-9800000</v>
      </c>
      <c r="H147" s="29">
        <f t="shared" si="28"/>
        <v>-14560000</v>
      </c>
      <c r="I147" s="29">
        <f t="shared" si="28"/>
        <v>-18570000</v>
      </c>
      <c r="J147" s="29">
        <f t="shared" si="28"/>
        <v>-18905000</v>
      </c>
      <c r="K147" s="29">
        <f t="shared" si="28"/>
        <v>-19240000</v>
      </c>
      <c r="L147" s="29">
        <f t="shared" si="28"/>
        <v>390158738.326138</v>
      </c>
      <c r="M147" s="64"/>
    </row>
    <row r="148" spans="1:13" s="3" customFormat="1" ht="18.75" customHeight="1" thickBot="1">
      <c r="A148" s="31"/>
      <c r="B148" s="31"/>
      <c r="C148" s="29"/>
      <c r="D148" s="29"/>
      <c r="E148" s="29"/>
      <c r="F148" s="29"/>
      <c r="G148" s="29"/>
      <c r="H148" s="29"/>
      <c r="I148" s="29"/>
      <c r="J148" s="29"/>
      <c r="K148" s="29"/>
      <c r="L148" s="29"/>
      <c r="M148" s="64"/>
    </row>
    <row r="149" spans="1:13" s="3" customFormat="1" ht="18.75" customHeight="1" thickBot="1">
      <c r="A149" s="103" t="s">
        <v>107</v>
      </c>
      <c r="B149" s="22"/>
      <c r="C149" s="141">
        <f>C$146+NPV($D$46,D$146:$L$146,$C$179:$L$179)</f>
        <v>829417583.4917979</v>
      </c>
      <c r="D149" s="142">
        <f>D$146+NPV($D$46,E$146:$L$146,$C$179:$L$179)</f>
        <v>995913100.1901573</v>
      </c>
      <c r="E149" s="142">
        <f>E$146+NPV($D$46,F$146:$L$146,$C$179:$L$179)</f>
        <v>1196427720.228189</v>
      </c>
      <c r="F149" s="142">
        <f>F$146+NPV($D$46,G$146:$L$146,$C$179:$L$179)</f>
        <v>1437765264.2738266</v>
      </c>
      <c r="G149" s="142">
        <f>G$146+NPV($D$46,H$146:$L$146,$C$179:$L$179)</f>
        <v>1727370317.1285918</v>
      </c>
      <c r="H149" s="142">
        <f>H$146+NPV($D$46,I$146:$L$146,$C$179:$L$179)</f>
        <v>2078556380.5543098</v>
      </c>
      <c r="I149" s="142">
        <f>I$146+NPV($D$46,J$146:$L$146,$C$179:$L$179)</f>
        <v>2499979656.665172</v>
      </c>
      <c r="J149" s="142">
        <f>J$146+NPV($D$46,K$146:$L$146,$C$179:$L$179)</f>
        <v>3004787587.998206</v>
      </c>
      <c r="K149" s="142">
        <f>K$146+NPV($D$46,L$146,$C$179:$L$179)</f>
        <v>3606147105.5978475</v>
      </c>
      <c r="L149" s="143">
        <f>L$146+NPV($D$46,$C$179:$L$179)</f>
        <v>4327778526.717417</v>
      </c>
      <c r="M149" s="64"/>
    </row>
    <row r="150" spans="3:24" s="3" customFormat="1" ht="18.75" customHeight="1">
      <c r="C150" s="45"/>
      <c r="D150" s="45"/>
      <c r="E150" s="45"/>
      <c r="F150" s="45"/>
      <c r="G150" s="45"/>
      <c r="H150" s="45"/>
      <c r="I150" s="45"/>
      <c r="J150" s="45"/>
      <c r="K150" s="45"/>
      <c r="L150" s="45"/>
      <c r="M150" s="64"/>
      <c r="N150" s="45"/>
      <c r="O150" s="45"/>
      <c r="P150" s="45"/>
      <c r="Q150" s="45"/>
      <c r="R150" s="45"/>
      <c r="S150" s="45"/>
      <c r="T150" s="45"/>
      <c r="U150" s="45"/>
      <c r="V150" s="45"/>
      <c r="W150" s="45"/>
      <c r="X150" s="45"/>
    </row>
    <row r="151" spans="1:4" s="3" customFormat="1" ht="18.75" customHeight="1">
      <c r="A151" s="132"/>
      <c r="B151" s="132"/>
      <c r="C151" s="132"/>
      <c r="D151" s="133"/>
    </row>
    <row r="152" spans="1:4" s="3" customFormat="1" ht="26.25">
      <c r="A152" s="114" t="s">
        <v>107</v>
      </c>
      <c r="B152" s="20"/>
      <c r="C152" s="115">
        <f>$C$149</f>
        <v>829417583.4917979</v>
      </c>
      <c r="D152" s="134"/>
    </row>
    <row r="153" spans="1:4" s="3" customFormat="1" ht="18.75" customHeight="1">
      <c r="A153" s="135"/>
      <c r="B153" s="135"/>
      <c r="C153" s="135"/>
      <c r="D153" s="136"/>
    </row>
    <row r="154" spans="1:24" s="3" customFormat="1" ht="18.75" customHeight="1" thickBot="1">
      <c r="A154" s="108" t="s">
        <v>5</v>
      </c>
      <c r="B154" s="124">
        <f>+$D$46</f>
        <v>0.2</v>
      </c>
      <c r="G154" s="45"/>
      <c r="N154" s="45"/>
      <c r="O154" s="45"/>
      <c r="P154" s="45"/>
      <c r="Q154" s="45"/>
      <c r="R154" s="45"/>
      <c r="S154" s="45"/>
      <c r="T154" s="45"/>
      <c r="U154" s="45"/>
      <c r="V154" s="45"/>
      <c r="W154" s="45"/>
      <c r="X154" s="45"/>
    </row>
    <row r="155" s="3" customFormat="1" ht="18.75" customHeight="1">
      <c r="C155" s="19"/>
    </row>
    <row r="156" spans="3:13" s="3" customFormat="1" ht="18.75" customHeight="1">
      <c r="C156" s="137" t="s">
        <v>1</v>
      </c>
      <c r="D156" s="18"/>
      <c r="E156" s="36"/>
      <c r="F156" s="36"/>
      <c r="G156" s="36"/>
      <c r="H156" s="36"/>
      <c r="I156" s="36"/>
      <c r="J156" s="36"/>
      <c r="K156" s="36"/>
      <c r="M156" s="49" t="s">
        <v>12</v>
      </c>
    </row>
    <row r="157" spans="3:13" s="3" customFormat="1" ht="18.75" customHeight="1">
      <c r="C157" s="119">
        <f>1+L124</f>
        <v>11</v>
      </c>
      <c r="D157" s="68">
        <f aca="true" t="shared" si="29" ref="D157:L157">1+C157</f>
        <v>12</v>
      </c>
      <c r="E157" s="68">
        <f t="shared" si="29"/>
        <v>13</v>
      </c>
      <c r="F157" s="68">
        <f t="shared" si="29"/>
        <v>14</v>
      </c>
      <c r="G157" s="68">
        <f t="shared" si="29"/>
        <v>15</v>
      </c>
      <c r="H157" s="68">
        <f t="shared" si="29"/>
        <v>16</v>
      </c>
      <c r="I157" s="68">
        <f t="shared" si="29"/>
        <v>17</v>
      </c>
      <c r="J157" s="68">
        <f t="shared" si="29"/>
        <v>18</v>
      </c>
      <c r="K157" s="68">
        <f t="shared" si="29"/>
        <v>19</v>
      </c>
      <c r="L157" s="68">
        <f t="shared" si="29"/>
        <v>20</v>
      </c>
      <c r="M157" s="138" t="s">
        <v>0</v>
      </c>
    </row>
    <row r="158" spans="3:12" s="3" customFormat="1" ht="18.75" customHeight="1">
      <c r="C158" s="21"/>
      <c r="D158" s="21"/>
      <c r="E158" s="21"/>
      <c r="F158" s="21"/>
      <c r="G158" s="21"/>
      <c r="H158" s="21"/>
      <c r="I158" s="21"/>
      <c r="J158" s="21"/>
      <c r="K158" s="21"/>
      <c r="L158" s="21"/>
    </row>
    <row r="159" spans="1:13" s="3" customFormat="1" ht="18.75" customHeight="1">
      <c r="A159" s="103" t="s">
        <v>37</v>
      </c>
      <c r="B159" s="22"/>
      <c r="C159" s="155" t="str">
        <f aca="true" t="shared" si="30" ref="C159:H159">IF(C157&gt;$L$15,0,IF(C157&gt;$L$13,"Revenue",IF(C157&gt;$L$12,"FDA",IF(C157&gt;$L$11,"Phase 3",IF(C157&gt;$L$10,"Phase 2",IF(C157&gt;$L$9,"Phase 1","Preclinical"))))))</f>
        <v>Revenue</v>
      </c>
      <c r="D159" s="155" t="str">
        <f t="shared" si="30"/>
        <v>Revenue</v>
      </c>
      <c r="E159" s="155" t="str">
        <f t="shared" si="30"/>
        <v>Revenue</v>
      </c>
      <c r="F159" s="155" t="str">
        <f t="shared" si="30"/>
        <v>Revenue</v>
      </c>
      <c r="G159" s="155" t="str">
        <f t="shared" si="30"/>
        <v>Revenue</v>
      </c>
      <c r="H159" s="155" t="str">
        <f t="shared" si="30"/>
        <v>Revenue</v>
      </c>
      <c r="I159" s="155" t="str">
        <f>IF(I157&gt;$L$15,0,IF(I157&gt;$L$13,"Revenue",IF(I157&gt;$L$12,"FDA",IF(I157&gt;$L$11,"Phase 3",IF(I157&gt;$L$10,"Phase 2",IF(I157&gt;$L$9,"Phase 1","Preclinical"))))))</f>
        <v>Revenue</v>
      </c>
      <c r="J159" s="155" t="str">
        <f>IF(J157&gt;$L$15,0,IF(J157&gt;$L$13,"Revenue",IF(J157&gt;$L$12,"FDA",IF(J157&gt;$L$11,"Phase 3",IF(J157&gt;$L$10,"Phase 2",IF(J157&gt;$L$9,"Phase 1","Preclinical"))))))</f>
        <v>Revenue</v>
      </c>
      <c r="K159" s="155">
        <f>IF(K157&gt;$L$15,0,IF(K157&gt;$L$13,"Revenue",IF(K157&gt;$L$12,"FDA",IF(K157&gt;$L$11,"Phase 3",IF(K157&gt;$L$10,"Phase 2",IF(K157&gt;$L$9,"Phase 1","Preclinical"))))))</f>
        <v>0</v>
      </c>
      <c r="L159" s="155">
        <f>IF(L157&gt;$L$15,0,IF(L157&gt;$L$13,"Revenue",IF(L157&gt;$L$12,"FDA",IF(L157&gt;$L$11,"Phase 3",IF(L157&gt;$L$10,"Phase 2",IF(L157&gt;$L$9,"Phase 1","Preclinical"))))))</f>
        <v>0</v>
      </c>
      <c r="M159" s="22"/>
    </row>
    <row r="160" spans="1:13" s="3" customFormat="1" ht="18.75" customHeight="1">
      <c r="A160" s="22"/>
      <c r="B160" s="22"/>
      <c r="C160" s="26"/>
      <c r="D160" s="26"/>
      <c r="E160" s="26"/>
      <c r="F160" s="26"/>
      <c r="G160" s="26"/>
      <c r="H160" s="26"/>
      <c r="I160" s="26"/>
      <c r="J160" s="26"/>
      <c r="K160" s="26"/>
      <c r="L160" s="26"/>
      <c r="M160" s="22"/>
    </row>
    <row r="161" spans="1:13" s="3" customFormat="1" ht="18.75" customHeight="1">
      <c r="A161" s="103" t="s">
        <v>112</v>
      </c>
      <c r="B161" s="22"/>
      <c r="C161" s="144">
        <f aca="true" t="shared" si="31" ref="C161:L161">C96</f>
        <v>2345737799.5406775</v>
      </c>
      <c r="D161" s="145">
        <f t="shared" si="31"/>
        <v>3528106937.3991566</v>
      </c>
      <c r="E161" s="145">
        <f t="shared" si="31"/>
        <v>3537632826.130133</v>
      </c>
      <c r="F161" s="145">
        <f t="shared" si="31"/>
        <v>3547184434.7606845</v>
      </c>
      <c r="G161" s="145">
        <f t="shared" si="31"/>
        <v>3556761832.734538</v>
      </c>
      <c r="H161" s="145">
        <f t="shared" si="31"/>
        <v>2674773817.262191</v>
      </c>
      <c r="I161" s="145">
        <f t="shared" si="31"/>
        <v>1787997137.7125323</v>
      </c>
      <c r="J161" s="145">
        <f t="shared" si="31"/>
        <v>896412364.9921781</v>
      </c>
      <c r="K161" s="145">
        <f t="shared" si="31"/>
        <v>0</v>
      </c>
      <c r="L161" s="146">
        <f t="shared" si="31"/>
        <v>0</v>
      </c>
      <c r="M161" s="29">
        <f>SUM(C128:L128,C161:L161)</f>
        <v>23044317831.463917</v>
      </c>
    </row>
    <row r="162" spans="1:13" s="3" customFormat="1" ht="18.75" customHeight="1">
      <c r="A162" s="103" t="s">
        <v>118</v>
      </c>
      <c r="B162" s="22"/>
      <c r="C162" s="102">
        <f>C76</f>
        <v>0</v>
      </c>
      <c r="D162" s="159">
        <f aca="true" t="shared" si="32" ref="D162:L162">D76</f>
        <v>0</v>
      </c>
      <c r="E162" s="159">
        <f t="shared" si="32"/>
        <v>0</v>
      </c>
      <c r="F162" s="159">
        <f t="shared" si="32"/>
        <v>0</v>
      </c>
      <c r="G162" s="159">
        <f t="shared" si="32"/>
        <v>0</v>
      </c>
      <c r="H162" s="159">
        <f t="shared" si="32"/>
        <v>0</v>
      </c>
      <c r="I162" s="159">
        <f t="shared" si="32"/>
        <v>0</v>
      </c>
      <c r="J162" s="159">
        <f t="shared" si="32"/>
        <v>0</v>
      </c>
      <c r="K162" s="159">
        <f t="shared" si="32"/>
        <v>0</v>
      </c>
      <c r="L162" s="171">
        <f t="shared" si="32"/>
        <v>0</v>
      </c>
      <c r="M162" s="29">
        <f>SUM(C74:L74,C98:L98)</f>
        <v>0</v>
      </c>
    </row>
    <row r="163" spans="1:13" s="3" customFormat="1" ht="18.75" customHeight="1">
      <c r="A163" s="22"/>
      <c r="B163" s="22"/>
      <c r="C163" s="22"/>
      <c r="D163" s="22"/>
      <c r="E163" s="22"/>
      <c r="F163" s="22"/>
      <c r="G163" s="22"/>
      <c r="H163" s="22"/>
      <c r="I163" s="22"/>
      <c r="J163" s="22"/>
      <c r="K163" s="22"/>
      <c r="L163" s="22"/>
      <c r="M163" s="122"/>
    </row>
    <row r="164" spans="1:13" s="3" customFormat="1" ht="18.75" customHeight="1">
      <c r="A164" s="103" t="s">
        <v>68</v>
      </c>
      <c r="B164" s="160" t="s">
        <v>38</v>
      </c>
      <c r="C164" s="24"/>
      <c r="D164" s="24"/>
      <c r="E164" s="24"/>
      <c r="F164" s="24"/>
      <c r="G164" s="24"/>
      <c r="H164" s="24"/>
      <c r="I164" s="24"/>
      <c r="J164" s="24"/>
      <c r="K164" s="24"/>
      <c r="L164" s="24"/>
      <c r="M164" s="122"/>
    </row>
    <row r="165" spans="1:13" s="3" customFormat="1" ht="18.75" customHeight="1">
      <c r="A165" s="3" t="s">
        <v>35</v>
      </c>
      <c r="B165" s="233">
        <f>$D$32</f>
        <v>10000</v>
      </c>
      <c r="C165" s="145">
        <f aca="true" t="shared" si="33" ref="C165:L165">IF(OR(C$159="Revenue",C$159=0),0,$B132)</f>
        <v>0</v>
      </c>
      <c r="D165" s="145">
        <f t="shared" si="33"/>
        <v>0</v>
      </c>
      <c r="E165" s="145">
        <f t="shared" si="33"/>
        <v>0</v>
      </c>
      <c r="F165" s="145">
        <f t="shared" si="33"/>
        <v>0</v>
      </c>
      <c r="G165" s="145">
        <f t="shared" si="33"/>
        <v>0</v>
      </c>
      <c r="H165" s="145">
        <f t="shared" si="33"/>
        <v>0</v>
      </c>
      <c r="I165" s="145">
        <f t="shared" si="33"/>
        <v>0</v>
      </c>
      <c r="J165" s="145">
        <f t="shared" si="33"/>
        <v>0</v>
      </c>
      <c r="K165" s="145">
        <f t="shared" si="33"/>
        <v>0</v>
      </c>
      <c r="L165" s="145">
        <f t="shared" si="33"/>
        <v>0</v>
      </c>
      <c r="M165" s="47">
        <f aca="true" t="shared" si="34" ref="M165:M177">SUM(C132:L132,C165:L165)</f>
        <v>90000</v>
      </c>
    </row>
    <row r="166" spans="1:13" s="3" customFormat="1" ht="18.75" customHeight="1">
      <c r="A166" s="3" t="s">
        <v>34</v>
      </c>
      <c r="B166" s="153">
        <f>IF(D24=0,0,$D$33)</f>
        <v>500000</v>
      </c>
      <c r="C166" s="94">
        <f aca="true" t="shared" si="35" ref="C166:L166">IF(C$159="Preclinical",$B133,0)</f>
        <v>0</v>
      </c>
      <c r="D166" s="94">
        <f t="shared" si="35"/>
        <v>0</v>
      </c>
      <c r="E166" s="94">
        <f t="shared" si="35"/>
        <v>0</v>
      </c>
      <c r="F166" s="94">
        <f t="shared" si="35"/>
        <v>0</v>
      </c>
      <c r="G166" s="94">
        <f t="shared" si="35"/>
        <v>0</v>
      </c>
      <c r="H166" s="94">
        <f t="shared" si="35"/>
        <v>0</v>
      </c>
      <c r="I166" s="94">
        <f t="shared" si="35"/>
        <v>0</v>
      </c>
      <c r="J166" s="94">
        <f t="shared" si="35"/>
        <v>0</v>
      </c>
      <c r="K166" s="94">
        <f t="shared" si="35"/>
        <v>0</v>
      </c>
      <c r="L166" s="94">
        <f t="shared" si="35"/>
        <v>0</v>
      </c>
      <c r="M166" s="47">
        <f t="shared" si="34"/>
        <v>500000</v>
      </c>
    </row>
    <row r="167" spans="1:13" s="3" customFormat="1" ht="18.75" customHeight="1">
      <c r="A167" s="3" t="s">
        <v>62</v>
      </c>
      <c r="B167" s="153">
        <f>IF(D25=0,0,$D$34*D18/D25)</f>
        <v>600000</v>
      </c>
      <c r="C167" s="94">
        <f aca="true" t="shared" si="36" ref="C167:L167">IF(C$159="Phase 1",$B134,0)</f>
        <v>0</v>
      </c>
      <c r="D167" s="94">
        <f t="shared" si="36"/>
        <v>0</v>
      </c>
      <c r="E167" s="94">
        <f t="shared" si="36"/>
        <v>0</v>
      </c>
      <c r="F167" s="94">
        <f t="shared" si="36"/>
        <v>0</v>
      </c>
      <c r="G167" s="94">
        <f t="shared" si="36"/>
        <v>0</v>
      </c>
      <c r="H167" s="94">
        <f t="shared" si="36"/>
        <v>0</v>
      </c>
      <c r="I167" s="94">
        <f t="shared" si="36"/>
        <v>0</v>
      </c>
      <c r="J167" s="94">
        <f t="shared" si="36"/>
        <v>0</v>
      </c>
      <c r="K167" s="94">
        <f t="shared" si="36"/>
        <v>0</v>
      </c>
      <c r="L167" s="94">
        <f t="shared" si="36"/>
        <v>0</v>
      </c>
      <c r="M167" s="47">
        <f t="shared" si="34"/>
        <v>600000</v>
      </c>
    </row>
    <row r="168" spans="1:13" s="3" customFormat="1" ht="18.75" customHeight="1">
      <c r="A168" s="3" t="s">
        <v>58</v>
      </c>
      <c r="B168" s="153">
        <f>IF(D26=0,0,$D$35*D19/D26)</f>
        <v>1200000</v>
      </c>
      <c r="C168" s="94">
        <f aca="true" t="shared" si="37" ref="C168:L168">IF(C$159="Phase 2",$B135,0)</f>
        <v>0</v>
      </c>
      <c r="D168" s="94">
        <f t="shared" si="37"/>
        <v>0</v>
      </c>
      <c r="E168" s="94">
        <f t="shared" si="37"/>
        <v>0</v>
      </c>
      <c r="F168" s="94">
        <f t="shared" si="37"/>
        <v>0</v>
      </c>
      <c r="G168" s="94">
        <f t="shared" si="37"/>
        <v>0</v>
      </c>
      <c r="H168" s="94">
        <f t="shared" si="37"/>
        <v>0</v>
      </c>
      <c r="I168" s="94">
        <f t="shared" si="37"/>
        <v>0</v>
      </c>
      <c r="J168" s="94">
        <f t="shared" si="37"/>
        <v>0</v>
      </c>
      <c r="K168" s="94">
        <f t="shared" si="37"/>
        <v>0</v>
      </c>
      <c r="L168" s="94">
        <f t="shared" si="37"/>
        <v>0</v>
      </c>
      <c r="M168" s="47">
        <f t="shared" si="34"/>
        <v>2400000</v>
      </c>
    </row>
    <row r="169" spans="1:13" s="3" customFormat="1" ht="18.75" customHeight="1">
      <c r="A169" s="3" t="s">
        <v>54</v>
      </c>
      <c r="B169" s="153">
        <f>IF(D27=0,0,$D$36*D20/D27)</f>
        <v>4000000</v>
      </c>
      <c r="C169" s="94">
        <f aca="true" t="shared" si="38" ref="C169:L169">IF(C$159="Phase 3",$B136,0)</f>
        <v>0</v>
      </c>
      <c r="D169" s="94">
        <f t="shared" si="38"/>
        <v>0</v>
      </c>
      <c r="E169" s="94">
        <f t="shared" si="38"/>
        <v>0</v>
      </c>
      <c r="F169" s="94">
        <f t="shared" si="38"/>
        <v>0</v>
      </c>
      <c r="G169" s="94">
        <f t="shared" si="38"/>
        <v>0</v>
      </c>
      <c r="H169" s="94">
        <f t="shared" si="38"/>
        <v>0</v>
      </c>
      <c r="I169" s="94">
        <f t="shared" si="38"/>
        <v>0</v>
      </c>
      <c r="J169" s="94">
        <f t="shared" si="38"/>
        <v>0</v>
      </c>
      <c r="K169" s="94">
        <f t="shared" si="38"/>
        <v>0</v>
      </c>
      <c r="L169" s="94">
        <f t="shared" si="38"/>
        <v>0</v>
      </c>
      <c r="M169" s="47">
        <f t="shared" si="34"/>
        <v>12000000</v>
      </c>
    </row>
    <row r="170" spans="1:13" s="3" customFormat="1" ht="18.75" customHeight="1">
      <c r="A170" s="3" t="s">
        <v>7</v>
      </c>
      <c r="B170" s="153">
        <f>IF(D28=0,0,$D$37/D28)</f>
        <v>650000</v>
      </c>
      <c r="C170" s="94">
        <f>IF(C$159="FDA",$B137/$D28,0)</f>
        <v>0</v>
      </c>
      <c r="D170" s="94">
        <f>IF(D$159="FDA",$B137/$D28,0)</f>
        <v>0</v>
      </c>
      <c r="E170" s="94">
        <f aca="true" t="shared" si="39" ref="E170:L170">IF(E$159="FDA",$B137/$D28,0)</f>
        <v>0</v>
      </c>
      <c r="F170" s="94">
        <f t="shared" si="39"/>
        <v>0</v>
      </c>
      <c r="G170" s="94">
        <f t="shared" si="39"/>
        <v>0</v>
      </c>
      <c r="H170" s="94">
        <f t="shared" si="39"/>
        <v>0</v>
      </c>
      <c r="I170" s="94">
        <f t="shared" si="39"/>
        <v>0</v>
      </c>
      <c r="J170" s="94">
        <f t="shared" si="39"/>
        <v>0</v>
      </c>
      <c r="K170" s="94">
        <f t="shared" si="39"/>
        <v>0</v>
      </c>
      <c r="L170" s="94">
        <f t="shared" si="39"/>
        <v>0</v>
      </c>
      <c r="M170" s="47">
        <f t="shared" si="34"/>
        <v>650000</v>
      </c>
    </row>
    <row r="171" spans="1:13" s="3" customFormat="1" ht="18.75" customHeight="1">
      <c r="A171" s="3" t="s">
        <v>104</v>
      </c>
      <c r="B171" s="153">
        <f>IF(D25=0,0,$D$38/D25)</f>
        <v>500000</v>
      </c>
      <c r="C171" s="94">
        <f>IF(B$159="Phase 1",IF(C$159="Phase 1",0,$B138),0)</f>
        <v>0</v>
      </c>
      <c r="D171" s="94">
        <f aca="true" t="shared" si="40" ref="D171:L171">IF(D$159="Phase 1",IF(C$159="Phase 1",0,$B138),0)</f>
        <v>0</v>
      </c>
      <c r="E171" s="94">
        <f t="shared" si="40"/>
        <v>0</v>
      </c>
      <c r="F171" s="94">
        <f t="shared" si="40"/>
        <v>0</v>
      </c>
      <c r="G171" s="94">
        <f t="shared" si="40"/>
        <v>0</v>
      </c>
      <c r="H171" s="94">
        <f t="shared" si="40"/>
        <v>0</v>
      </c>
      <c r="I171" s="94">
        <f t="shared" si="40"/>
        <v>0</v>
      </c>
      <c r="J171" s="94">
        <f t="shared" si="40"/>
        <v>0</v>
      </c>
      <c r="K171" s="94">
        <f t="shared" si="40"/>
        <v>0</v>
      </c>
      <c r="L171" s="94">
        <f t="shared" si="40"/>
        <v>0</v>
      </c>
      <c r="M171" s="47">
        <f t="shared" si="34"/>
        <v>500000</v>
      </c>
    </row>
    <row r="172" spans="1:13" s="3" customFormat="1" ht="18.75" customHeight="1">
      <c r="A172" s="3" t="s">
        <v>105</v>
      </c>
      <c r="B172" s="153">
        <f>IF(D26=0,0,$D$39/D26)</f>
        <v>500000</v>
      </c>
      <c r="C172" s="94">
        <f aca="true" t="shared" si="41" ref="C172:L172">IF(C159="Phase 2",$B$139,)</f>
        <v>0</v>
      </c>
      <c r="D172" s="94">
        <f t="shared" si="41"/>
        <v>0</v>
      </c>
      <c r="E172" s="94">
        <f t="shared" si="41"/>
        <v>0</v>
      </c>
      <c r="F172" s="94">
        <f t="shared" si="41"/>
        <v>0</v>
      </c>
      <c r="G172" s="94">
        <f t="shared" si="41"/>
        <v>0</v>
      </c>
      <c r="H172" s="94">
        <f t="shared" si="41"/>
        <v>0</v>
      </c>
      <c r="I172" s="94">
        <f t="shared" si="41"/>
        <v>0</v>
      </c>
      <c r="J172" s="94">
        <f t="shared" si="41"/>
        <v>0</v>
      </c>
      <c r="K172" s="94">
        <f t="shared" si="41"/>
        <v>0</v>
      </c>
      <c r="L172" s="94">
        <f t="shared" si="41"/>
        <v>0</v>
      </c>
      <c r="M172" s="47">
        <f t="shared" si="34"/>
        <v>1000000</v>
      </c>
    </row>
    <row r="173" spans="1:13" s="3" customFormat="1" ht="18.75" customHeight="1">
      <c r="A173" s="3" t="s">
        <v>106</v>
      </c>
      <c r="B173" s="153">
        <f>IF(D25=0,0,IF(D27=1,$D$40,$D$40/2))</f>
        <v>750000</v>
      </c>
      <c r="C173" s="94">
        <f>IF(C$159="Phase 3",IF(M$126="Phase 3",IF(L$126="Phase 3",0,$B140),$B140),0)</f>
        <v>0</v>
      </c>
      <c r="D173" s="94">
        <f>IF(D$159="Phase 3",IF(C$159="Phase 3",IF(M$126="Phase 3",0,$B140),$B140),0)</f>
        <v>0</v>
      </c>
      <c r="E173" s="94">
        <f aca="true" t="shared" si="42" ref="E173:L173">IF(E$159="Phase 3",IF(D$159="Phase 3",IF(C$159="Phase 3",0,$B140),$B140),0)</f>
        <v>0</v>
      </c>
      <c r="F173" s="94">
        <f t="shared" si="42"/>
        <v>0</v>
      </c>
      <c r="G173" s="94">
        <f t="shared" si="42"/>
        <v>0</v>
      </c>
      <c r="H173" s="94">
        <f t="shared" si="42"/>
        <v>0</v>
      </c>
      <c r="I173" s="94">
        <f t="shared" si="42"/>
        <v>0</v>
      </c>
      <c r="J173" s="94">
        <f t="shared" si="42"/>
        <v>0</v>
      </c>
      <c r="K173" s="94">
        <f t="shared" si="42"/>
        <v>0</v>
      </c>
      <c r="L173" s="94">
        <f t="shared" si="42"/>
        <v>0</v>
      </c>
      <c r="M173" s="47">
        <f t="shared" si="34"/>
        <v>1500000</v>
      </c>
    </row>
    <row r="174" spans="1:13" s="3" customFormat="1" ht="18.75" customHeight="1">
      <c r="A174" s="3" t="s">
        <v>18</v>
      </c>
      <c r="B174" s="234">
        <f>$D$41</f>
        <v>0.6</v>
      </c>
      <c r="C174" s="94">
        <f aca="true" t="shared" si="43" ref="C174:L174">IF(C$159="Revenue",$B141*C$161,0)</f>
        <v>1407442679.7244065</v>
      </c>
      <c r="D174" s="94">
        <f t="shared" si="43"/>
        <v>2116864162.439494</v>
      </c>
      <c r="E174" s="94">
        <f t="shared" si="43"/>
        <v>2122579695.6780798</v>
      </c>
      <c r="F174" s="94">
        <f t="shared" si="43"/>
        <v>2128310660.8564105</v>
      </c>
      <c r="G174" s="94">
        <f t="shared" si="43"/>
        <v>2134057099.6407228</v>
      </c>
      <c r="H174" s="94">
        <f t="shared" si="43"/>
        <v>1604864290.3573143</v>
      </c>
      <c r="I174" s="94">
        <f t="shared" si="43"/>
        <v>1072798282.6275194</v>
      </c>
      <c r="J174" s="94">
        <f t="shared" si="43"/>
        <v>537847418.9953068</v>
      </c>
      <c r="K174" s="94">
        <f t="shared" si="43"/>
        <v>0</v>
      </c>
      <c r="L174" s="94">
        <f t="shared" si="43"/>
        <v>0</v>
      </c>
      <c r="M174" s="47">
        <f t="shared" si="34"/>
        <v>13826590698.878347</v>
      </c>
    </row>
    <row r="175" spans="1:13" s="3" customFormat="1" ht="18.75" customHeight="1">
      <c r="A175" s="3" t="s">
        <v>47</v>
      </c>
      <c r="B175" s="234">
        <f>$D$45</f>
        <v>0.05</v>
      </c>
      <c r="C175" s="94">
        <f aca="true" t="shared" si="44" ref="C175:L175">IF(C$159="Revenue",$B142*C$161,0)</f>
        <v>117286889.97703388</v>
      </c>
      <c r="D175" s="94">
        <f t="shared" si="44"/>
        <v>176405346.86995783</v>
      </c>
      <c r="E175" s="94">
        <f t="shared" si="44"/>
        <v>176881641.30650666</v>
      </c>
      <c r="F175" s="94">
        <f t="shared" si="44"/>
        <v>177359221.73803425</v>
      </c>
      <c r="G175" s="94">
        <f t="shared" si="44"/>
        <v>177838091.63672692</v>
      </c>
      <c r="H175" s="94">
        <f t="shared" si="44"/>
        <v>133738690.86310954</v>
      </c>
      <c r="I175" s="94">
        <f t="shared" si="44"/>
        <v>89399856.88562661</v>
      </c>
      <c r="J175" s="94">
        <f t="shared" si="44"/>
        <v>44820618.249608904</v>
      </c>
      <c r="K175" s="94">
        <f t="shared" si="44"/>
        <v>0</v>
      </c>
      <c r="L175" s="94">
        <f t="shared" si="44"/>
        <v>0</v>
      </c>
      <c r="M175" s="47">
        <f t="shared" si="34"/>
        <v>1152215891.573196</v>
      </c>
    </row>
    <row r="176" spans="1:13" s="3" customFormat="1" ht="18.75" customHeight="1">
      <c r="A176" s="19" t="s">
        <v>9</v>
      </c>
      <c r="B176" s="235"/>
      <c r="C176" s="150">
        <v>0</v>
      </c>
      <c r="D176" s="150">
        <v>0</v>
      </c>
      <c r="E176" s="150">
        <v>0</v>
      </c>
      <c r="F176" s="150">
        <v>0</v>
      </c>
      <c r="G176" s="150">
        <v>0</v>
      </c>
      <c r="H176" s="150">
        <v>0</v>
      </c>
      <c r="I176" s="150">
        <v>0</v>
      </c>
      <c r="J176" s="150">
        <v>0</v>
      </c>
      <c r="K176" s="150">
        <v>0</v>
      </c>
      <c r="L176" s="150">
        <v>0</v>
      </c>
      <c r="M176" s="102">
        <f t="shared" si="34"/>
        <v>0</v>
      </c>
    </row>
    <row r="177" spans="1:13" s="3" customFormat="1" ht="18.75" customHeight="1">
      <c r="A177" s="103" t="s">
        <v>8</v>
      </c>
      <c r="B177" s="22"/>
      <c r="C177" s="94">
        <f aca="true" t="shared" si="45" ref="C177:L177">SUM(C165:C176)</f>
        <v>1524729569.7014403</v>
      </c>
      <c r="D177" s="94">
        <f t="shared" si="45"/>
        <v>2293269509.3094516</v>
      </c>
      <c r="E177" s="94">
        <f t="shared" si="45"/>
        <v>2299461336.9845867</v>
      </c>
      <c r="F177" s="94">
        <f t="shared" si="45"/>
        <v>2305669882.5944448</v>
      </c>
      <c r="G177" s="94">
        <f t="shared" si="45"/>
        <v>2311895191.2774496</v>
      </c>
      <c r="H177" s="94">
        <f t="shared" si="45"/>
        <v>1738602981.220424</v>
      </c>
      <c r="I177" s="94">
        <f t="shared" si="45"/>
        <v>1162198139.513146</v>
      </c>
      <c r="J177" s="94">
        <f t="shared" si="45"/>
        <v>582668037.2449157</v>
      </c>
      <c r="K177" s="94">
        <f t="shared" si="45"/>
        <v>0</v>
      </c>
      <c r="L177" s="94">
        <f t="shared" si="45"/>
        <v>0</v>
      </c>
      <c r="M177" s="29">
        <f t="shared" si="34"/>
        <v>14998046590.451542</v>
      </c>
    </row>
    <row r="178" spans="1:2" s="3" customFormat="1" ht="27" customHeight="1" thickBot="1">
      <c r="A178" s="32"/>
      <c r="B178" s="32"/>
    </row>
    <row r="179" spans="1:13" s="3" customFormat="1" ht="18.75" customHeight="1" thickBot="1">
      <c r="A179" s="22" t="s">
        <v>11</v>
      </c>
      <c r="B179" s="22"/>
      <c r="C179" s="141">
        <f aca="true" t="shared" si="46" ref="C179:L179">C161+C98-C177</f>
        <v>821008229.8392372</v>
      </c>
      <c r="D179" s="142">
        <f t="shared" si="46"/>
        <v>1234837428.089705</v>
      </c>
      <c r="E179" s="142">
        <f t="shared" si="46"/>
        <v>1238171489.1455464</v>
      </c>
      <c r="F179" s="142">
        <f t="shared" si="46"/>
        <v>1241514552.1662397</v>
      </c>
      <c r="G179" s="142">
        <f t="shared" si="46"/>
        <v>1244866641.4570885</v>
      </c>
      <c r="H179" s="142">
        <f t="shared" si="46"/>
        <v>936170836.0417669</v>
      </c>
      <c r="I179" s="142">
        <f t="shared" si="46"/>
        <v>625798998.1993864</v>
      </c>
      <c r="J179" s="142">
        <f t="shared" si="46"/>
        <v>313744327.74726236</v>
      </c>
      <c r="K179" s="142">
        <f t="shared" si="46"/>
        <v>0</v>
      </c>
      <c r="L179" s="143">
        <f t="shared" si="46"/>
        <v>0</v>
      </c>
      <c r="M179" s="45"/>
    </row>
    <row r="180" spans="1:13" s="3" customFormat="1" ht="18.75" customHeight="1">
      <c r="A180" s="22" t="s">
        <v>17</v>
      </c>
      <c r="B180" s="22"/>
      <c r="C180" s="29">
        <f>+C179+L147</f>
        <v>1211166968.1653752</v>
      </c>
      <c r="D180" s="29">
        <f aca="true" t="shared" si="47" ref="D180:L180">+D179+C180</f>
        <v>2446004396.25508</v>
      </c>
      <c r="E180" s="29">
        <f t="shared" si="47"/>
        <v>3684175885.4006267</v>
      </c>
      <c r="F180" s="29">
        <f t="shared" si="47"/>
        <v>4925690437.566866</v>
      </c>
      <c r="G180" s="29">
        <f t="shared" si="47"/>
        <v>6170557079.023954</v>
      </c>
      <c r="H180" s="29">
        <f t="shared" si="47"/>
        <v>7106727915.0657215</v>
      </c>
      <c r="I180" s="29">
        <f t="shared" si="47"/>
        <v>7732526913.265108</v>
      </c>
      <c r="J180" s="29">
        <f t="shared" si="47"/>
        <v>8046271241.01237</v>
      </c>
      <c r="K180" s="29">
        <f t="shared" si="47"/>
        <v>8046271241.01237</v>
      </c>
      <c r="L180" s="29">
        <f t="shared" si="47"/>
        <v>8046271241.01237</v>
      </c>
      <c r="M180" s="45"/>
    </row>
    <row r="181" spans="1:13" s="3" customFormat="1" ht="18.75" customHeight="1" thickBot="1">
      <c r="A181" s="31"/>
      <c r="B181" s="31"/>
      <c r="C181" s="29"/>
      <c r="D181" s="29"/>
      <c r="E181" s="29"/>
      <c r="F181" s="29"/>
      <c r="G181" s="29"/>
      <c r="H181" s="29"/>
      <c r="I181" s="29"/>
      <c r="J181" s="29"/>
      <c r="K181" s="29"/>
      <c r="L181" s="29"/>
      <c r="M181" s="45"/>
    </row>
    <row r="182" spans="1:13" s="3" customFormat="1" ht="18.75" customHeight="1" thickBot="1">
      <c r="A182" s="103" t="s">
        <v>107</v>
      </c>
      <c r="B182" s="22"/>
      <c r="C182" s="141">
        <f>C179+NPV($D$46,D$179:$L$179)</f>
        <v>4702055746.069535</v>
      </c>
      <c r="D182" s="142">
        <f>D179+NPV($D$46,E$179:$L$179)</f>
        <v>4657257019.4763565</v>
      </c>
      <c r="E182" s="142">
        <f>E179+NPV($D$46,F$179:$L$179)</f>
        <v>4106903509.663982</v>
      </c>
      <c r="F182" s="142">
        <f>F179+NPV($D$46,G$179:$L$179)</f>
        <v>3442478424.6221232</v>
      </c>
      <c r="G182" s="142">
        <f>G179+NPV($D$46,H$179:$L$179)</f>
        <v>2641156646.9470596</v>
      </c>
      <c r="H182" s="142">
        <f>H179+NPV($D$46,I$179:$L$179)</f>
        <v>1675548006.5879655</v>
      </c>
      <c r="I182" s="142">
        <f>I179+NPV($D$46,J$179:$L$179)</f>
        <v>887252604.6554383</v>
      </c>
      <c r="J182" s="142">
        <f>J179+NPV($D$46,K$179:$L$179)</f>
        <v>313744327.74726236</v>
      </c>
      <c r="K182" s="142">
        <f>K179+NPV($D$46,$L$179)</f>
        <v>0</v>
      </c>
      <c r="L182" s="143">
        <f>L179</f>
        <v>0</v>
      </c>
      <c r="M182" s="45"/>
    </row>
    <row r="183" s="3" customFormat="1" ht="18.75" customHeight="1"/>
    <row r="184" spans="1:13" s="3" customFormat="1" ht="18.75" customHeight="1">
      <c r="A184" s="89" t="s">
        <v>19</v>
      </c>
      <c r="B184" s="87"/>
      <c r="C184" s="87"/>
      <c r="D184" s="87"/>
      <c r="E184" s="87"/>
      <c r="F184" s="87"/>
      <c r="G184" s="87"/>
      <c r="H184" s="87"/>
      <c r="I184" s="87"/>
      <c r="J184" s="87"/>
      <c r="K184" s="87"/>
      <c r="L184" s="87"/>
      <c r="M184" s="87"/>
    </row>
    <row r="185" spans="1:13" s="3" customFormat="1" ht="18.75" customHeight="1">
      <c r="A185" s="87" t="s">
        <v>132</v>
      </c>
      <c r="B185" s="87"/>
      <c r="C185" s="87"/>
      <c r="D185" s="87"/>
      <c r="E185" s="87"/>
      <c r="F185" s="87"/>
      <c r="G185" s="87"/>
      <c r="H185" s="87"/>
      <c r="I185" s="87"/>
      <c r="J185" s="87"/>
      <c r="K185" s="87"/>
      <c r="L185" s="87"/>
      <c r="M185" s="87"/>
    </row>
    <row r="186" spans="1:13" s="3" customFormat="1" ht="18.75" customHeight="1">
      <c r="A186" s="87" t="s">
        <v>131</v>
      </c>
      <c r="B186" s="87"/>
      <c r="C186" s="87"/>
      <c r="D186" s="87"/>
      <c r="E186" s="87"/>
      <c r="F186" s="87"/>
      <c r="G186" s="87"/>
      <c r="H186" s="87"/>
      <c r="I186" s="87"/>
      <c r="J186" s="87"/>
      <c r="K186" s="87"/>
      <c r="L186" s="87"/>
      <c r="M186" s="87"/>
    </row>
    <row r="187" spans="1:25" ht="33.75">
      <c r="A187" s="109" t="s">
        <v>76</v>
      </c>
      <c r="B187" s="41"/>
      <c r="C187" s="42"/>
      <c r="E187" s="46"/>
      <c r="M187" s="84" t="str">
        <f>+$M$1</f>
        <v>Company/Institution  Name</v>
      </c>
      <c r="O187"/>
      <c r="P187" s="3"/>
      <c r="T187" s="1"/>
      <c r="U187" s="1"/>
      <c r="V187" s="1"/>
      <c r="W187" s="1"/>
      <c r="X187" s="1"/>
      <c r="Y187" s="2"/>
    </row>
    <row r="188" spans="1:25" ht="27.75">
      <c r="A188" s="39" t="str">
        <f>+A119</f>
        <v>Biotechnology Name</v>
      </c>
      <c r="B188" s="40"/>
      <c r="C188" s="39"/>
      <c r="E188" s="46"/>
      <c r="M188" s="176" t="s">
        <v>25</v>
      </c>
      <c r="O188"/>
      <c r="P188" s="3"/>
      <c r="T188" s="1"/>
      <c r="U188" s="1"/>
      <c r="V188" s="1"/>
      <c r="W188" s="1"/>
      <c r="X188" s="1"/>
      <c r="Y188" s="2"/>
    </row>
    <row r="189" spans="1:20" s="3" customFormat="1" ht="19.5" customHeight="1">
      <c r="A189" s="42"/>
      <c r="B189" s="41"/>
      <c r="C189" s="42"/>
      <c r="D189" s="34"/>
      <c r="E189"/>
      <c r="F189"/>
      <c r="G189"/>
      <c r="H189"/>
      <c r="I189"/>
      <c r="J189"/>
      <c r="K189"/>
      <c r="L189"/>
      <c r="M189" s="80" t="str">
        <f>+$M$3</f>
        <v>Draft 1.0</v>
      </c>
      <c r="N189"/>
      <c r="O189"/>
      <c r="Q189"/>
      <c r="R189"/>
      <c r="S189"/>
      <c r="T189"/>
    </row>
    <row r="190" spans="1:15" ht="19.5">
      <c r="A190" s="22"/>
      <c r="B190" s="22"/>
      <c r="C190" s="49" t="s">
        <v>1</v>
      </c>
      <c r="D190" s="105"/>
      <c r="E190" s="36"/>
      <c r="F190" s="36"/>
      <c r="G190" s="36"/>
      <c r="H190" s="36"/>
      <c r="I190" s="36"/>
      <c r="J190" s="36"/>
      <c r="K190" s="36"/>
      <c r="L190" s="36"/>
      <c r="M190" s="36"/>
      <c r="O190"/>
    </row>
    <row r="191" spans="1:15" ht="24" customHeight="1">
      <c r="A191" s="251" t="s">
        <v>80</v>
      </c>
      <c r="B191" s="250"/>
      <c r="C191" s="119">
        <v>1</v>
      </c>
      <c r="D191" s="120">
        <f aca="true" t="shared" si="48" ref="D191:L191">1+C191</f>
        <v>2</v>
      </c>
      <c r="E191" s="68">
        <f t="shared" si="48"/>
        <v>3</v>
      </c>
      <c r="F191" s="68">
        <f t="shared" si="48"/>
        <v>4</v>
      </c>
      <c r="G191" s="68">
        <f t="shared" si="48"/>
        <v>5</v>
      </c>
      <c r="H191" s="68">
        <f t="shared" si="48"/>
        <v>6</v>
      </c>
      <c r="I191" s="68">
        <f t="shared" si="48"/>
        <v>7</v>
      </c>
      <c r="J191" s="68">
        <f t="shared" si="48"/>
        <v>8</v>
      </c>
      <c r="K191" s="68">
        <f t="shared" si="48"/>
        <v>9</v>
      </c>
      <c r="L191" s="69">
        <f t="shared" si="48"/>
        <v>10</v>
      </c>
      <c r="M191" s="65"/>
      <c r="O191"/>
    </row>
    <row r="192" spans="1:15" ht="24" customHeight="1">
      <c r="A192" s="250"/>
      <c r="B192" s="250"/>
      <c r="C192" s="118"/>
      <c r="D192" s="118"/>
      <c r="E192" s="118"/>
      <c r="F192" s="118"/>
      <c r="G192" s="118"/>
      <c r="H192" s="118"/>
      <c r="I192" s="118"/>
      <c r="J192" s="118"/>
      <c r="K192" s="118"/>
      <c r="L192" s="118"/>
      <c r="M192" s="118"/>
      <c r="O192"/>
    </row>
    <row r="193" spans="1:25" s="22" customFormat="1" ht="19.5">
      <c r="A193" s="103" t="s">
        <v>37</v>
      </c>
      <c r="C193" s="208" t="str">
        <f aca="true" t="shared" si="49" ref="C193:L193">C$126</f>
        <v>Preclinical</v>
      </c>
      <c r="D193" s="209" t="str">
        <f t="shared" si="49"/>
        <v>Phase 1</v>
      </c>
      <c r="E193" s="209" t="str">
        <f t="shared" si="49"/>
        <v>Phase 2</v>
      </c>
      <c r="F193" s="209" t="str">
        <f t="shared" si="49"/>
        <v>Phase 2</v>
      </c>
      <c r="G193" s="209" t="str">
        <f t="shared" si="49"/>
        <v>Phase 3</v>
      </c>
      <c r="H193" s="209" t="str">
        <f t="shared" si="49"/>
        <v>Phase 3</v>
      </c>
      <c r="I193" s="209" t="str">
        <f t="shared" si="49"/>
        <v>Phase 3</v>
      </c>
      <c r="J193" s="209" t="str">
        <f t="shared" si="49"/>
        <v>FDA</v>
      </c>
      <c r="K193" s="209" t="str">
        <f t="shared" si="49"/>
        <v>FDA</v>
      </c>
      <c r="L193" s="210" t="str">
        <f t="shared" si="49"/>
        <v>Revenue</v>
      </c>
      <c r="M193" s="123"/>
      <c r="N193"/>
      <c r="O193"/>
      <c r="P193"/>
      <c r="Q193"/>
      <c r="R193"/>
      <c r="S193"/>
      <c r="T193"/>
      <c r="U193"/>
      <c r="V193"/>
      <c r="W193"/>
      <c r="X193"/>
      <c r="Y193"/>
    </row>
    <row r="194" spans="1:25" s="22" customFormat="1" ht="19.5">
      <c r="A194" s="103" t="s">
        <v>109</v>
      </c>
      <c r="C194" s="161">
        <f>IF(C193="Preclinical",$D$50,IF(C193="Phase 1",$D$51,IF(C193="Phase 2",$D$52,IF(C193="Phase 3",$D$53,IF(C193="FDA",$D$54,100%)))))</f>
        <v>0.1</v>
      </c>
      <c r="D194" s="162">
        <f aca="true" t="shared" si="50" ref="D194:L194">IF(D193="Preclinical",$D$50,IF(D193="Phase 1",$D$51,IF(D193="Phase 2",$D$52,IF(D193="Phase 3",$D$53,IF(D193="FDA",$D$54,100%)))))</f>
        <v>0.2</v>
      </c>
      <c r="E194" s="162">
        <f t="shared" si="50"/>
        <v>0.3</v>
      </c>
      <c r="F194" s="162">
        <f t="shared" si="50"/>
        <v>0.3</v>
      </c>
      <c r="G194" s="162">
        <f t="shared" si="50"/>
        <v>0.67</v>
      </c>
      <c r="H194" s="162">
        <f t="shared" si="50"/>
        <v>0.67</v>
      </c>
      <c r="I194" s="162">
        <f t="shared" si="50"/>
        <v>0.67</v>
      </c>
      <c r="J194" s="162">
        <f t="shared" si="50"/>
        <v>0.81</v>
      </c>
      <c r="K194" s="162">
        <f t="shared" si="50"/>
        <v>0.81</v>
      </c>
      <c r="L194" s="163">
        <f t="shared" si="50"/>
        <v>1</v>
      </c>
      <c r="M194" s="51"/>
      <c r="N194"/>
      <c r="O194"/>
      <c r="P194"/>
      <c r="Q194"/>
      <c r="R194"/>
      <c r="S194"/>
      <c r="T194"/>
      <c r="U194"/>
      <c r="V194"/>
      <c r="W194"/>
      <c r="X194"/>
      <c r="Y194"/>
    </row>
    <row r="195" spans="3:25" s="22" customFormat="1" ht="18.75">
      <c r="C195" s="94"/>
      <c r="D195" s="94"/>
      <c r="E195" s="94"/>
      <c r="F195" s="94"/>
      <c r="G195" s="94"/>
      <c r="H195" s="94"/>
      <c r="I195" s="94"/>
      <c r="J195" s="94"/>
      <c r="K195" s="94"/>
      <c r="L195" s="94"/>
      <c r="M195" s="63"/>
      <c r="N195"/>
      <c r="O195"/>
      <c r="P195"/>
      <c r="Q195"/>
      <c r="R195"/>
      <c r="S195"/>
      <c r="T195"/>
      <c r="U195"/>
      <c r="V195"/>
      <c r="W195"/>
      <c r="X195"/>
      <c r="Y195"/>
    </row>
    <row r="196" spans="1:25" s="22" customFormat="1" ht="19.5">
      <c r="A196" s="103" t="s">
        <v>52</v>
      </c>
      <c r="B196" s="160" t="s">
        <v>38</v>
      </c>
      <c r="C196" s="24"/>
      <c r="D196" s="24"/>
      <c r="E196" s="24"/>
      <c r="F196" s="24"/>
      <c r="G196" s="24"/>
      <c r="H196" s="24"/>
      <c r="I196" s="24"/>
      <c r="J196" s="24"/>
      <c r="K196" s="24"/>
      <c r="L196" s="24"/>
      <c r="M196" s="51"/>
      <c r="N196"/>
      <c r="O196"/>
      <c r="P196"/>
      <c r="Q196"/>
      <c r="R196"/>
      <c r="S196"/>
      <c r="T196"/>
      <c r="U196"/>
      <c r="V196"/>
      <c r="W196"/>
      <c r="X196"/>
      <c r="Y196"/>
    </row>
    <row r="197" spans="1:15" ht="18.75" customHeight="1">
      <c r="A197" s="3" t="s">
        <v>35</v>
      </c>
      <c r="B197" s="152">
        <f>$D$32</f>
        <v>10000</v>
      </c>
      <c r="C197" s="144">
        <f aca="true" t="shared" si="51" ref="C197:L197">C132/(C$194)</f>
        <v>100000</v>
      </c>
      <c r="D197" s="145">
        <f t="shared" si="51"/>
        <v>50000</v>
      </c>
      <c r="E197" s="145">
        <f t="shared" si="51"/>
        <v>33333.333333333336</v>
      </c>
      <c r="F197" s="145">
        <f t="shared" si="51"/>
        <v>33333.333333333336</v>
      </c>
      <c r="G197" s="145">
        <f t="shared" si="51"/>
        <v>14925.373134328358</v>
      </c>
      <c r="H197" s="145">
        <f t="shared" si="51"/>
        <v>14925.373134328358</v>
      </c>
      <c r="I197" s="145">
        <f t="shared" si="51"/>
        <v>14925.373134328358</v>
      </c>
      <c r="J197" s="145">
        <f t="shared" si="51"/>
        <v>12345.679012345678</v>
      </c>
      <c r="K197" s="145">
        <f t="shared" si="51"/>
        <v>12345.679012345678</v>
      </c>
      <c r="L197" s="146">
        <f t="shared" si="51"/>
        <v>0</v>
      </c>
      <c r="M197" s="63"/>
      <c r="O197"/>
    </row>
    <row r="198" spans="1:15" ht="18.75" customHeight="1">
      <c r="A198" s="3" t="s">
        <v>34</v>
      </c>
      <c r="B198" s="152">
        <f>IF(D24=0,0,$D$33)</f>
        <v>500000</v>
      </c>
      <c r="C198" s="147">
        <f aca="true" t="shared" si="52" ref="C198:L198">C133/(C$194)</f>
        <v>5000000</v>
      </c>
      <c r="D198" s="94">
        <f t="shared" si="52"/>
        <v>0</v>
      </c>
      <c r="E198" s="94">
        <f t="shared" si="52"/>
        <v>0</v>
      </c>
      <c r="F198" s="94">
        <f t="shared" si="52"/>
        <v>0</v>
      </c>
      <c r="G198" s="94">
        <f t="shared" si="52"/>
        <v>0</v>
      </c>
      <c r="H198" s="94">
        <f t="shared" si="52"/>
        <v>0</v>
      </c>
      <c r="I198" s="94">
        <f t="shared" si="52"/>
        <v>0</v>
      </c>
      <c r="J198" s="94">
        <f t="shared" si="52"/>
        <v>0</v>
      </c>
      <c r="K198" s="94">
        <f t="shared" si="52"/>
        <v>0</v>
      </c>
      <c r="L198" s="148">
        <f t="shared" si="52"/>
        <v>0</v>
      </c>
      <c r="M198" s="63"/>
      <c r="O198"/>
    </row>
    <row r="199" spans="1:15" ht="18.75" customHeight="1">
      <c r="A199" s="3" t="s">
        <v>65</v>
      </c>
      <c r="B199" s="152">
        <f>IF(D25=0,0,$D$34*D18/D25)</f>
        <v>600000</v>
      </c>
      <c r="C199" s="147">
        <f aca="true" t="shared" si="53" ref="C199:L199">C134/(C$194)</f>
        <v>0</v>
      </c>
      <c r="D199" s="94">
        <f t="shared" si="53"/>
        <v>3000000</v>
      </c>
      <c r="E199" s="94">
        <f t="shared" si="53"/>
        <v>0</v>
      </c>
      <c r="F199" s="94">
        <f t="shared" si="53"/>
        <v>0</v>
      </c>
      <c r="G199" s="94">
        <f t="shared" si="53"/>
        <v>0</v>
      </c>
      <c r="H199" s="94">
        <f t="shared" si="53"/>
        <v>0</v>
      </c>
      <c r="I199" s="94">
        <f t="shared" si="53"/>
        <v>0</v>
      </c>
      <c r="J199" s="94">
        <f t="shared" si="53"/>
        <v>0</v>
      </c>
      <c r="K199" s="94">
        <f t="shared" si="53"/>
        <v>0</v>
      </c>
      <c r="L199" s="148">
        <f t="shared" si="53"/>
        <v>0</v>
      </c>
      <c r="M199" s="63"/>
      <c r="O199"/>
    </row>
    <row r="200" spans="1:15" ht="18.75" customHeight="1">
      <c r="A200" s="3" t="s">
        <v>61</v>
      </c>
      <c r="B200" s="152">
        <f>IF(D26=0,0,$D$35*D19/D26)</f>
        <v>1200000</v>
      </c>
      <c r="C200" s="147">
        <f aca="true" t="shared" si="54" ref="C200:L200">C135/(C$194)</f>
        <v>0</v>
      </c>
      <c r="D200" s="94">
        <f t="shared" si="54"/>
        <v>0</v>
      </c>
      <c r="E200" s="94">
        <f t="shared" si="54"/>
        <v>4000000</v>
      </c>
      <c r="F200" s="94">
        <f t="shared" si="54"/>
        <v>4000000</v>
      </c>
      <c r="G200" s="94">
        <f t="shared" si="54"/>
        <v>0</v>
      </c>
      <c r="H200" s="94">
        <f t="shared" si="54"/>
        <v>0</v>
      </c>
      <c r="I200" s="94">
        <f t="shared" si="54"/>
        <v>0</v>
      </c>
      <c r="J200" s="94">
        <f t="shared" si="54"/>
        <v>0</v>
      </c>
      <c r="K200" s="94">
        <f t="shared" si="54"/>
        <v>0</v>
      </c>
      <c r="L200" s="148">
        <f t="shared" si="54"/>
        <v>0</v>
      </c>
      <c r="M200" s="63"/>
      <c r="O200"/>
    </row>
    <row r="201" spans="1:15" ht="18.75" customHeight="1">
      <c r="A201" s="3" t="s">
        <v>57</v>
      </c>
      <c r="B201" s="152">
        <f>IF(D27=0,0,$D$36*D20/D27)</f>
        <v>4000000</v>
      </c>
      <c r="C201" s="147">
        <f aca="true" t="shared" si="55" ref="C201:L201">C136/(C$194)</f>
        <v>0</v>
      </c>
      <c r="D201" s="94">
        <f t="shared" si="55"/>
        <v>0</v>
      </c>
      <c r="E201" s="94">
        <f t="shared" si="55"/>
        <v>0</v>
      </c>
      <c r="F201" s="94">
        <f t="shared" si="55"/>
        <v>0</v>
      </c>
      <c r="G201" s="94">
        <f t="shared" si="55"/>
        <v>5970149.253731343</v>
      </c>
      <c r="H201" s="94">
        <f t="shared" si="55"/>
        <v>5970149.253731343</v>
      </c>
      <c r="I201" s="94">
        <f t="shared" si="55"/>
        <v>5970149.253731343</v>
      </c>
      <c r="J201" s="94">
        <f t="shared" si="55"/>
        <v>0</v>
      </c>
      <c r="K201" s="94">
        <f t="shared" si="55"/>
        <v>0</v>
      </c>
      <c r="L201" s="148">
        <f t="shared" si="55"/>
        <v>0</v>
      </c>
      <c r="M201" s="63"/>
      <c r="O201"/>
    </row>
    <row r="202" spans="1:15" ht="18.75" customHeight="1">
      <c r="A202" s="3" t="s">
        <v>7</v>
      </c>
      <c r="B202" s="153">
        <f>IF(D28=0,0,$D$37/D28)</f>
        <v>650000</v>
      </c>
      <c r="C202" s="147">
        <f aca="true" t="shared" si="56" ref="C202:L202">C137/(C$194)</f>
        <v>0</v>
      </c>
      <c r="D202" s="94">
        <f t="shared" si="56"/>
        <v>0</v>
      </c>
      <c r="E202" s="94">
        <f t="shared" si="56"/>
        <v>0</v>
      </c>
      <c r="F202" s="94">
        <f t="shared" si="56"/>
        <v>0</v>
      </c>
      <c r="G202" s="94">
        <f t="shared" si="56"/>
        <v>0</v>
      </c>
      <c r="H202" s="94">
        <f t="shared" si="56"/>
        <v>0</v>
      </c>
      <c r="I202" s="94">
        <f t="shared" si="56"/>
        <v>0</v>
      </c>
      <c r="J202" s="94">
        <f t="shared" si="56"/>
        <v>401234.56790123455</v>
      </c>
      <c r="K202" s="94">
        <f t="shared" si="56"/>
        <v>401234.56790123455</v>
      </c>
      <c r="L202" s="148">
        <f t="shared" si="56"/>
        <v>0</v>
      </c>
      <c r="M202" s="63"/>
      <c r="O202"/>
    </row>
    <row r="203" spans="1:15" ht="18.75" customHeight="1">
      <c r="A203" s="3" t="s">
        <v>104</v>
      </c>
      <c r="B203" s="152">
        <f>IF(D25=0,0,$D$38/D25)</f>
        <v>500000</v>
      </c>
      <c r="C203" s="147">
        <f aca="true" t="shared" si="57" ref="C203:L203">C138/(C$194)</f>
        <v>0</v>
      </c>
      <c r="D203" s="94">
        <f t="shared" si="57"/>
        <v>2500000</v>
      </c>
      <c r="E203" s="94">
        <f t="shared" si="57"/>
        <v>0</v>
      </c>
      <c r="F203" s="94">
        <f t="shared" si="57"/>
        <v>0</v>
      </c>
      <c r="G203" s="94">
        <f t="shared" si="57"/>
        <v>0</v>
      </c>
      <c r="H203" s="94">
        <f t="shared" si="57"/>
        <v>0</v>
      </c>
      <c r="I203" s="94">
        <f t="shared" si="57"/>
        <v>0</v>
      </c>
      <c r="J203" s="94">
        <f t="shared" si="57"/>
        <v>0</v>
      </c>
      <c r="K203" s="94">
        <f t="shared" si="57"/>
        <v>0</v>
      </c>
      <c r="L203" s="148">
        <f t="shared" si="57"/>
        <v>0</v>
      </c>
      <c r="M203" s="63"/>
      <c r="O203"/>
    </row>
    <row r="204" spans="1:15" ht="18.75" customHeight="1">
      <c r="A204" s="3" t="s">
        <v>105</v>
      </c>
      <c r="B204" s="152">
        <f>IF(D26=0,0,$D$39/D26)</f>
        <v>500000</v>
      </c>
      <c r="C204" s="147">
        <f aca="true" t="shared" si="58" ref="C204:L204">C139/(C$194)</f>
        <v>0</v>
      </c>
      <c r="D204" s="94">
        <f t="shared" si="58"/>
        <v>0</v>
      </c>
      <c r="E204" s="94">
        <f t="shared" si="58"/>
        <v>1666666.6666666667</v>
      </c>
      <c r="F204" s="94">
        <f t="shared" si="58"/>
        <v>1666666.6666666667</v>
      </c>
      <c r="G204" s="94">
        <f t="shared" si="58"/>
        <v>0</v>
      </c>
      <c r="H204" s="94">
        <f t="shared" si="58"/>
        <v>0</v>
      </c>
      <c r="I204" s="94">
        <f t="shared" si="58"/>
        <v>0</v>
      </c>
      <c r="J204" s="94">
        <f t="shared" si="58"/>
        <v>0</v>
      </c>
      <c r="K204" s="94">
        <f t="shared" si="58"/>
        <v>0</v>
      </c>
      <c r="L204" s="148">
        <f t="shared" si="58"/>
        <v>0</v>
      </c>
      <c r="M204" s="63"/>
      <c r="O204"/>
    </row>
    <row r="205" spans="1:15" ht="18.75" customHeight="1">
      <c r="A205" s="3" t="s">
        <v>106</v>
      </c>
      <c r="B205" s="152">
        <f>IF(D25=0,0,IF(D27=1,$D$40,$D$40/2))</f>
        <v>750000</v>
      </c>
      <c r="C205" s="147">
        <f aca="true" t="shared" si="59" ref="C205:L205">C140/(C$194)</f>
        <v>0</v>
      </c>
      <c r="D205" s="94">
        <f t="shared" si="59"/>
        <v>0</v>
      </c>
      <c r="E205" s="94">
        <f t="shared" si="59"/>
        <v>0</v>
      </c>
      <c r="F205" s="94">
        <f t="shared" si="59"/>
        <v>0</v>
      </c>
      <c r="G205" s="94">
        <f t="shared" si="59"/>
        <v>1119402.9850746267</v>
      </c>
      <c r="H205" s="94">
        <f t="shared" si="59"/>
        <v>1119402.9850746267</v>
      </c>
      <c r="I205" s="94">
        <f t="shared" si="59"/>
        <v>0</v>
      </c>
      <c r="J205" s="94">
        <f t="shared" si="59"/>
        <v>0</v>
      </c>
      <c r="K205" s="94">
        <f t="shared" si="59"/>
        <v>0</v>
      </c>
      <c r="L205" s="148">
        <f t="shared" si="59"/>
        <v>0</v>
      </c>
      <c r="M205" s="63"/>
      <c r="O205"/>
    </row>
    <row r="206" spans="1:15" ht="18.75" customHeight="1">
      <c r="A206" s="3" t="s">
        <v>18</v>
      </c>
      <c r="B206" s="59">
        <f>$D$41</f>
        <v>0.6</v>
      </c>
      <c r="C206" s="147">
        <f aca="true" t="shared" si="60" ref="C206:L206">C141/(C$194)</f>
        <v>0</v>
      </c>
      <c r="D206" s="94">
        <f t="shared" si="60"/>
        <v>0</v>
      </c>
      <c r="E206" s="94">
        <f t="shared" si="60"/>
        <v>0</v>
      </c>
      <c r="F206" s="94">
        <f t="shared" si="60"/>
        <v>0</v>
      </c>
      <c r="G206" s="94">
        <f t="shared" si="60"/>
        <v>0</v>
      </c>
      <c r="H206" s="94">
        <f t="shared" si="60"/>
        <v>0</v>
      </c>
      <c r="I206" s="94">
        <f t="shared" si="60"/>
        <v>0</v>
      </c>
      <c r="J206" s="94">
        <f t="shared" si="60"/>
        <v>0</v>
      </c>
      <c r="K206" s="94">
        <f t="shared" si="60"/>
        <v>0</v>
      </c>
      <c r="L206" s="148">
        <f t="shared" si="60"/>
        <v>701826408.5590938</v>
      </c>
      <c r="M206" s="63"/>
      <c r="O206"/>
    </row>
    <row r="207" spans="1:15" ht="18.75" customHeight="1">
      <c r="A207" s="3" t="s">
        <v>10</v>
      </c>
      <c r="B207" s="59">
        <f>$D$45</f>
        <v>0.05</v>
      </c>
      <c r="C207" s="147">
        <f aca="true" t="shared" si="61" ref="C207:L207">C142/(C$194)</f>
        <v>0</v>
      </c>
      <c r="D207" s="94">
        <f t="shared" si="61"/>
        <v>0</v>
      </c>
      <c r="E207" s="94">
        <f t="shared" si="61"/>
        <v>0</v>
      </c>
      <c r="F207" s="94">
        <f t="shared" si="61"/>
        <v>0</v>
      </c>
      <c r="G207" s="94">
        <f t="shared" si="61"/>
        <v>0</v>
      </c>
      <c r="H207" s="94">
        <f t="shared" si="61"/>
        <v>0</v>
      </c>
      <c r="I207" s="94">
        <f t="shared" si="61"/>
        <v>0</v>
      </c>
      <c r="J207" s="94">
        <f t="shared" si="61"/>
        <v>0</v>
      </c>
      <c r="K207" s="94">
        <f t="shared" si="61"/>
        <v>0</v>
      </c>
      <c r="L207" s="148">
        <f t="shared" si="61"/>
        <v>58485534.046591155</v>
      </c>
      <c r="M207" s="63"/>
      <c r="O207"/>
    </row>
    <row r="208" spans="1:15" ht="18.75" customHeight="1">
      <c r="A208" s="19" t="s">
        <v>9</v>
      </c>
      <c r="B208" s="75"/>
      <c r="C208" s="149">
        <f aca="true" t="shared" si="62" ref="C208:L208">C143/(C$194)</f>
        <v>0</v>
      </c>
      <c r="D208" s="150">
        <f t="shared" si="62"/>
        <v>0</v>
      </c>
      <c r="E208" s="150">
        <f t="shared" si="62"/>
        <v>0</v>
      </c>
      <c r="F208" s="150">
        <f t="shared" si="62"/>
        <v>0</v>
      </c>
      <c r="G208" s="150">
        <f t="shared" si="62"/>
        <v>0</v>
      </c>
      <c r="H208" s="150">
        <f t="shared" si="62"/>
        <v>0</v>
      </c>
      <c r="I208" s="150">
        <f t="shared" si="62"/>
        <v>0</v>
      </c>
      <c r="J208" s="150">
        <f t="shared" si="62"/>
        <v>0</v>
      </c>
      <c r="K208" s="150">
        <f t="shared" si="62"/>
        <v>0</v>
      </c>
      <c r="L208" s="151">
        <f t="shared" si="62"/>
        <v>0</v>
      </c>
      <c r="M208" s="21"/>
      <c r="O208"/>
    </row>
    <row r="209" spans="1:15" ht="18.75" customHeight="1">
      <c r="A209" s="3" t="s">
        <v>53</v>
      </c>
      <c r="B209" s="22"/>
      <c r="C209" s="94">
        <f>SUM(C197:C208)</f>
        <v>5100000</v>
      </c>
      <c r="D209" s="94">
        <f aca="true" t="shared" si="63" ref="D209:L209">SUM(D197:D208)</f>
        <v>5550000</v>
      </c>
      <c r="E209" s="94">
        <f t="shared" si="63"/>
        <v>5700000</v>
      </c>
      <c r="F209" s="94">
        <f t="shared" si="63"/>
        <v>5700000</v>
      </c>
      <c r="G209" s="94">
        <f t="shared" si="63"/>
        <v>7104477.611940298</v>
      </c>
      <c r="H209" s="94">
        <f t="shared" si="63"/>
        <v>7104477.611940298</v>
      </c>
      <c r="I209" s="94">
        <f t="shared" si="63"/>
        <v>5985074.626865671</v>
      </c>
      <c r="J209" s="94">
        <f t="shared" si="63"/>
        <v>413580.2469135802</v>
      </c>
      <c r="K209" s="94">
        <f t="shared" si="63"/>
        <v>413580.2469135802</v>
      </c>
      <c r="L209" s="94">
        <f t="shared" si="63"/>
        <v>760311942.605685</v>
      </c>
      <c r="M209" s="63"/>
      <c r="O209"/>
    </row>
    <row r="210" spans="1:15" ht="18.75" customHeight="1">
      <c r="A210" s="22"/>
      <c r="B210" s="22"/>
      <c r="C210" s="94"/>
      <c r="D210" s="94"/>
      <c r="E210" s="94"/>
      <c r="F210" s="94"/>
      <c r="G210" s="94"/>
      <c r="H210" s="94"/>
      <c r="I210" s="94"/>
      <c r="J210" s="94"/>
      <c r="K210" s="94"/>
      <c r="L210" s="94"/>
      <c r="M210" s="63"/>
      <c r="O210"/>
    </row>
    <row r="211" spans="1:15" ht="18.75" customHeight="1">
      <c r="A211" s="24" t="s">
        <v>79</v>
      </c>
      <c r="B211" s="24"/>
      <c r="C211" s="144">
        <f>C$209+NPV($D$46,D$209:$L$209,$C$243:$L$243)</f>
        <v>1583162391.3256118</v>
      </c>
      <c r="D211" s="145">
        <f>D$209+NPV($D$46,E$209:$L$209,$C$243:$L$243)</f>
        <v>1893674869.590734</v>
      </c>
      <c r="E211" s="145">
        <f>E$209+NPV($D$46,F$209:$L$209,$C$243:$L$243)</f>
        <v>2265749843.508881</v>
      </c>
      <c r="F211" s="145">
        <f>F$209+NPV($D$46,G$209:$L$209,$C$243:$L$243)</f>
        <v>2712059812.2106576</v>
      </c>
      <c r="G211" s="145">
        <f>G$209+NPV($D$46,H$209:$L$209,$C$243:$L$243)</f>
        <v>3247631774.652788</v>
      </c>
      <c r="H211" s="145">
        <f>H$209+NPV($D$46,I$209:$L$209,$C$243:$L$243)</f>
        <v>3888632756.449018</v>
      </c>
      <c r="I211" s="145">
        <f>I$209+NPV($D$46,J$209:$L$209,$C$243:$L$243)</f>
        <v>4657833934.604492</v>
      </c>
      <c r="J211" s="145">
        <f>J$209+NPV($D$46,K$209:$L$209,$C$243:$L$243)</f>
        <v>5582218631.973154</v>
      </c>
      <c r="K211" s="145">
        <f>K$209+NPV($D$46,L$209,$C$243:$L$243)</f>
        <v>6698166062.071487</v>
      </c>
      <c r="L211" s="146">
        <f>L$209+NPV($D$46,$C$243:$L$243)</f>
        <v>8037302978.189488</v>
      </c>
      <c r="O211"/>
    </row>
    <row r="212" spans="1:25" s="22" customFormat="1" ht="18.75">
      <c r="A212" s="24" t="s">
        <v>66</v>
      </c>
      <c r="B212" s="24"/>
      <c r="C212" s="102">
        <f>C80</f>
        <v>2396435635.116529</v>
      </c>
      <c r="D212" s="159">
        <f aca="true" t="shared" si="64" ref="D212:L212">D80</f>
        <v>2875722762.139835</v>
      </c>
      <c r="E212" s="159">
        <f t="shared" si="64"/>
        <v>3450867314.5678015</v>
      </c>
      <c r="F212" s="159">
        <f t="shared" si="64"/>
        <v>4141040777.4813623</v>
      </c>
      <c r="G212" s="159">
        <f t="shared" si="64"/>
        <v>4969248932.977633</v>
      </c>
      <c r="H212" s="159">
        <f t="shared" si="64"/>
        <v>5963098719.573161</v>
      </c>
      <c r="I212" s="159">
        <f t="shared" si="64"/>
        <v>7155718463.487792</v>
      </c>
      <c r="J212" s="159">
        <f t="shared" si="64"/>
        <v>8586862156.18535</v>
      </c>
      <c r="K212" s="159">
        <f t="shared" si="64"/>
        <v>10304234587.42242</v>
      </c>
      <c r="L212" s="171">
        <f t="shared" si="64"/>
        <v>12365081504.906906</v>
      </c>
      <c r="M212" s="72"/>
      <c r="N212"/>
      <c r="O212"/>
      <c r="P212"/>
      <c r="Q212"/>
      <c r="R212"/>
      <c r="S212"/>
      <c r="T212"/>
      <c r="U212"/>
      <c r="V212"/>
      <c r="W212"/>
      <c r="X212"/>
      <c r="Y212"/>
    </row>
    <row r="213" spans="1:25" s="22" customFormat="1" ht="18.75">
      <c r="A213" s="24"/>
      <c r="B213" s="24"/>
      <c r="C213" s="62"/>
      <c r="D213" s="62"/>
      <c r="E213" s="62"/>
      <c r="F213" s="62"/>
      <c r="G213" s="62"/>
      <c r="H213" s="62"/>
      <c r="I213" s="62"/>
      <c r="J213" s="62"/>
      <c r="K213" s="62"/>
      <c r="L213" s="62"/>
      <c r="M213" s="72"/>
      <c r="N213"/>
      <c r="O213"/>
      <c r="P213"/>
      <c r="Q213"/>
      <c r="R213"/>
      <c r="S213"/>
      <c r="T213"/>
      <c r="U213"/>
      <c r="V213"/>
      <c r="W213"/>
      <c r="X213"/>
      <c r="Y213"/>
    </row>
    <row r="214" spans="1:15" ht="18.75" customHeight="1">
      <c r="A214" s="75" t="s">
        <v>78</v>
      </c>
      <c r="B214" s="75"/>
      <c r="C214" s="165">
        <f>+C194</f>
        <v>0.1</v>
      </c>
      <c r="D214" s="165">
        <f aca="true" t="shared" si="65" ref="D214:L214">+D194</f>
        <v>0.2</v>
      </c>
      <c r="E214" s="165">
        <f t="shared" si="65"/>
        <v>0.3</v>
      </c>
      <c r="F214" s="165">
        <f t="shared" si="65"/>
        <v>0.3</v>
      </c>
      <c r="G214" s="165">
        <f t="shared" si="65"/>
        <v>0.67</v>
      </c>
      <c r="H214" s="165">
        <f t="shared" si="65"/>
        <v>0.67</v>
      </c>
      <c r="I214" s="165">
        <f t="shared" si="65"/>
        <v>0.67</v>
      </c>
      <c r="J214" s="165">
        <f t="shared" si="65"/>
        <v>0.81</v>
      </c>
      <c r="K214" s="165">
        <f t="shared" si="65"/>
        <v>0.81</v>
      </c>
      <c r="L214" s="165">
        <f t="shared" si="65"/>
        <v>1</v>
      </c>
      <c r="O214"/>
    </row>
    <row r="215" spans="1:15" ht="18.75" customHeight="1">
      <c r="A215" s="24" t="s">
        <v>110</v>
      </c>
      <c r="B215" s="24"/>
      <c r="C215" s="94">
        <f aca="true" t="shared" si="66" ref="C215:L215">+C211*C214</f>
        <v>158316239.13256118</v>
      </c>
      <c r="D215" s="94">
        <f t="shared" si="66"/>
        <v>378734973.91814685</v>
      </c>
      <c r="E215" s="94">
        <f t="shared" si="66"/>
        <v>679724953.0526643</v>
      </c>
      <c r="F215" s="94">
        <f t="shared" si="66"/>
        <v>813617943.6631973</v>
      </c>
      <c r="G215" s="94">
        <f t="shared" si="66"/>
        <v>2175913289.0173683</v>
      </c>
      <c r="H215" s="94">
        <f t="shared" si="66"/>
        <v>2605383946.8208423</v>
      </c>
      <c r="I215" s="94">
        <f t="shared" si="66"/>
        <v>3120748736.18501</v>
      </c>
      <c r="J215" s="94">
        <f t="shared" si="66"/>
        <v>4521597091.898255</v>
      </c>
      <c r="K215" s="94">
        <f t="shared" si="66"/>
        <v>5425514510.277905</v>
      </c>
      <c r="L215" s="94">
        <f t="shared" si="66"/>
        <v>8037302978.189488</v>
      </c>
      <c r="O215"/>
    </row>
    <row r="216" spans="1:25" s="22" customFormat="1" ht="19.5" thickBot="1">
      <c r="A216" s="31" t="s">
        <v>119</v>
      </c>
      <c r="B216" s="31"/>
      <c r="C216" s="175">
        <f aca="true" t="shared" si="67" ref="C216:L216">C194*C212</f>
        <v>239643563.51165292</v>
      </c>
      <c r="D216" s="175">
        <f t="shared" si="67"/>
        <v>575144552.427967</v>
      </c>
      <c r="E216" s="175">
        <f t="shared" si="67"/>
        <v>1035260194.3703403</v>
      </c>
      <c r="F216" s="175">
        <f t="shared" si="67"/>
        <v>1242312233.2444086</v>
      </c>
      <c r="G216" s="175">
        <f t="shared" si="67"/>
        <v>3329396785.0950146</v>
      </c>
      <c r="H216" s="175">
        <f t="shared" si="67"/>
        <v>3995276142.114018</v>
      </c>
      <c r="I216" s="175">
        <f t="shared" si="67"/>
        <v>4794331370.536821</v>
      </c>
      <c r="J216" s="175">
        <f t="shared" si="67"/>
        <v>6955358346.510135</v>
      </c>
      <c r="K216" s="175">
        <f t="shared" si="67"/>
        <v>8346430015.812161</v>
      </c>
      <c r="L216" s="175">
        <f t="shared" si="67"/>
        <v>12365081504.906906</v>
      </c>
      <c r="M216" s="70"/>
      <c r="N216"/>
      <c r="O216"/>
      <c r="P216"/>
      <c r="Q216"/>
      <c r="R216"/>
      <c r="S216"/>
      <c r="T216"/>
      <c r="U216"/>
      <c r="V216"/>
      <c r="W216"/>
      <c r="X216"/>
      <c r="Y216"/>
    </row>
    <row r="217" spans="1:15" ht="23.25" customHeight="1" thickBot="1">
      <c r="A217" s="58" t="s">
        <v>40</v>
      </c>
      <c r="B217" s="24"/>
      <c r="C217" s="172">
        <f aca="true" t="shared" si="68" ref="C217:L217">+C216-C215</f>
        <v>81327324.37909174</v>
      </c>
      <c r="D217" s="173">
        <f t="shared" si="68"/>
        <v>196409578.5098201</v>
      </c>
      <c r="E217" s="173">
        <f t="shared" si="68"/>
        <v>355535241.31767607</v>
      </c>
      <c r="F217" s="173">
        <f t="shared" si="68"/>
        <v>428694289.5812113</v>
      </c>
      <c r="G217" s="173">
        <f t="shared" si="68"/>
        <v>1153483496.0776463</v>
      </c>
      <c r="H217" s="173">
        <f t="shared" si="68"/>
        <v>1389892195.2931757</v>
      </c>
      <c r="I217" s="173">
        <f t="shared" si="68"/>
        <v>1673582634.3518114</v>
      </c>
      <c r="J217" s="173">
        <f t="shared" si="68"/>
        <v>2433761254.6118793</v>
      </c>
      <c r="K217" s="173">
        <f t="shared" si="68"/>
        <v>2920915505.534256</v>
      </c>
      <c r="L217" s="174">
        <f t="shared" si="68"/>
        <v>4327778526.717418</v>
      </c>
      <c r="M217" s="48"/>
      <c r="O217"/>
    </row>
    <row r="218" spans="1:24" ht="18.75" customHeight="1">
      <c r="A218" s="81"/>
      <c r="B218" s="81"/>
      <c r="C218" s="48"/>
      <c r="D218" s="48"/>
      <c r="E218" s="48"/>
      <c r="F218" s="48"/>
      <c r="G218" s="48"/>
      <c r="H218" s="48"/>
      <c r="I218" s="48"/>
      <c r="J218" s="48"/>
      <c r="K218" s="48"/>
      <c r="L218" s="48"/>
      <c r="M218" s="48"/>
      <c r="N218" s="48"/>
      <c r="O218" s="48"/>
      <c r="P218" s="48"/>
      <c r="Q218" s="48"/>
      <c r="R218" s="48"/>
      <c r="S218" s="48"/>
      <c r="T218" s="48"/>
      <c r="U218" s="48"/>
      <c r="V218" s="48"/>
      <c r="W218" s="48"/>
      <c r="X218" s="45"/>
    </row>
    <row r="219" spans="1:23" ht="18.75" customHeight="1">
      <c r="A219" s="132"/>
      <c r="B219" s="132"/>
      <c r="C219" s="166"/>
      <c r="D219" s="167"/>
      <c r="G219" s="48"/>
      <c r="N219" s="48"/>
      <c r="O219" s="48"/>
      <c r="P219" s="48"/>
      <c r="Q219" s="48"/>
      <c r="R219" s="48"/>
      <c r="S219" s="48"/>
      <c r="T219" s="48"/>
      <c r="U219" s="48"/>
      <c r="V219" s="48"/>
      <c r="W219" s="45"/>
    </row>
    <row r="220" spans="1:23" ht="23.25" customHeight="1">
      <c r="A220" s="125" t="s">
        <v>40</v>
      </c>
      <c r="B220" s="48"/>
      <c r="C220" s="116">
        <f>+C217</f>
        <v>81327324.37909174</v>
      </c>
      <c r="D220" s="168"/>
      <c r="G220" s="48"/>
      <c r="N220" s="48"/>
      <c r="O220" s="48"/>
      <c r="P220" s="48"/>
      <c r="Q220" s="48"/>
      <c r="R220" s="48"/>
      <c r="S220" s="48"/>
      <c r="T220" s="48"/>
      <c r="U220" s="48"/>
      <c r="V220" s="48"/>
      <c r="W220" s="45"/>
    </row>
    <row r="221" spans="1:23" ht="18.75" customHeight="1">
      <c r="A221" s="169"/>
      <c r="B221" s="169"/>
      <c r="C221" s="169"/>
      <c r="D221" s="170"/>
      <c r="G221" s="48"/>
      <c r="N221" s="48"/>
      <c r="O221" s="48"/>
      <c r="P221" s="48"/>
      <c r="Q221" s="48"/>
      <c r="R221" s="48"/>
      <c r="S221" s="48"/>
      <c r="T221" s="48"/>
      <c r="U221" s="48"/>
      <c r="V221" s="48"/>
      <c r="W221" s="45"/>
    </row>
    <row r="222" spans="1:23" ht="18.75" customHeight="1" thickBot="1">
      <c r="A222" s="108" t="s">
        <v>5</v>
      </c>
      <c r="B222" s="124">
        <f>+$D$46</f>
        <v>0.2</v>
      </c>
      <c r="E222" s="64"/>
      <c r="G222" s="48"/>
      <c r="N222" s="48"/>
      <c r="O222" s="48"/>
      <c r="P222" s="48"/>
      <c r="Q222" s="48"/>
      <c r="R222" s="48"/>
      <c r="S222" s="48"/>
      <c r="T222" s="48"/>
      <c r="U222" s="48"/>
      <c r="V222" s="48"/>
      <c r="W222" s="45"/>
    </row>
    <row r="223" spans="1:23" ht="18.75" customHeight="1">
      <c r="A223" s="108"/>
      <c r="B223" s="27"/>
      <c r="C223" s="140"/>
      <c r="D223" s="48"/>
      <c r="E223" s="48"/>
      <c r="F223" s="48"/>
      <c r="G223" s="48"/>
      <c r="H223" s="48"/>
      <c r="I223" s="48"/>
      <c r="J223" s="48"/>
      <c r="K223" s="48"/>
      <c r="L223" s="48"/>
      <c r="M223" s="64"/>
      <c r="N223" s="48"/>
      <c r="O223" s="48"/>
      <c r="P223" s="48"/>
      <c r="Q223" s="48"/>
      <c r="R223" s="48"/>
      <c r="S223" s="48"/>
      <c r="T223" s="48"/>
      <c r="U223" s="48"/>
      <c r="V223" s="48"/>
      <c r="W223" s="45"/>
    </row>
    <row r="224" spans="1:23" ht="18.75" customHeight="1">
      <c r="A224" s="3"/>
      <c r="B224" s="3"/>
      <c r="C224" s="137" t="s">
        <v>1</v>
      </c>
      <c r="D224" s="48"/>
      <c r="E224" s="48"/>
      <c r="F224" s="48"/>
      <c r="G224" s="48"/>
      <c r="H224" s="48"/>
      <c r="I224" s="48"/>
      <c r="J224" s="48"/>
      <c r="K224" s="48"/>
      <c r="L224" s="48"/>
      <c r="M224" s="49" t="s">
        <v>12</v>
      </c>
      <c r="N224" s="48"/>
      <c r="O224" s="48"/>
      <c r="P224" s="48"/>
      <c r="Q224" s="48"/>
      <c r="R224" s="48"/>
      <c r="S224" s="48"/>
      <c r="T224" s="48"/>
      <c r="U224" s="48"/>
      <c r="V224" s="48"/>
      <c r="W224" s="45"/>
    </row>
    <row r="225" spans="1:23" ht="21" customHeight="1">
      <c r="A225" s="46"/>
      <c r="B225" s="3"/>
      <c r="C225" s="119">
        <v>11</v>
      </c>
      <c r="D225" s="68">
        <f aca="true" t="shared" si="69" ref="D225:L225">1+C225</f>
        <v>12</v>
      </c>
      <c r="E225" s="68">
        <f t="shared" si="69"/>
        <v>13</v>
      </c>
      <c r="F225" s="68">
        <f t="shared" si="69"/>
        <v>14</v>
      </c>
      <c r="G225" s="68">
        <f t="shared" si="69"/>
        <v>15</v>
      </c>
      <c r="H225" s="68">
        <f t="shared" si="69"/>
        <v>16</v>
      </c>
      <c r="I225" s="68">
        <f t="shared" si="69"/>
        <v>17</v>
      </c>
      <c r="J225" s="68">
        <f t="shared" si="69"/>
        <v>18</v>
      </c>
      <c r="K225" s="68">
        <f t="shared" si="69"/>
        <v>19</v>
      </c>
      <c r="L225" s="69">
        <f t="shared" si="69"/>
        <v>20</v>
      </c>
      <c r="M225" s="139" t="s">
        <v>0</v>
      </c>
      <c r="N225" s="45"/>
      <c r="O225" s="45"/>
      <c r="P225" s="45"/>
      <c r="Q225" s="45"/>
      <c r="R225" s="45"/>
      <c r="S225" s="45"/>
      <c r="T225" s="45"/>
      <c r="U225" s="45"/>
      <c r="V225" s="45"/>
      <c r="W225" s="45"/>
    </row>
    <row r="226" spans="1:23" ht="18.75" customHeight="1">
      <c r="A226" s="22"/>
      <c r="B226" s="3"/>
      <c r="C226" s="45"/>
      <c r="D226" s="45"/>
      <c r="E226" s="45"/>
      <c r="F226" s="45"/>
      <c r="G226" s="45"/>
      <c r="H226" s="45"/>
      <c r="I226" s="45"/>
      <c r="J226" s="45"/>
      <c r="K226" s="45"/>
      <c r="L226" s="45"/>
      <c r="M226" s="64"/>
      <c r="N226" s="45"/>
      <c r="O226" s="45"/>
      <c r="P226" s="45"/>
      <c r="Q226" s="45"/>
      <c r="R226" s="45"/>
      <c r="S226" s="45"/>
      <c r="T226" s="45"/>
      <c r="U226" s="45"/>
      <c r="V226" s="45"/>
      <c r="W226" s="45"/>
    </row>
    <row r="227" spans="1:23" ht="18.75" customHeight="1">
      <c r="A227" s="22" t="s">
        <v>36</v>
      </c>
      <c r="B227" s="22"/>
      <c r="C227" s="208" t="str">
        <f aca="true" t="shared" si="70" ref="C227:L227">C159</f>
        <v>Revenue</v>
      </c>
      <c r="D227" s="209" t="str">
        <f t="shared" si="70"/>
        <v>Revenue</v>
      </c>
      <c r="E227" s="209" t="str">
        <f t="shared" si="70"/>
        <v>Revenue</v>
      </c>
      <c r="F227" s="209" t="str">
        <f t="shared" si="70"/>
        <v>Revenue</v>
      </c>
      <c r="G227" s="209" t="str">
        <f t="shared" si="70"/>
        <v>Revenue</v>
      </c>
      <c r="H227" s="209" t="str">
        <f t="shared" si="70"/>
        <v>Revenue</v>
      </c>
      <c r="I227" s="209" t="str">
        <f t="shared" si="70"/>
        <v>Revenue</v>
      </c>
      <c r="J227" s="209" t="str">
        <f t="shared" si="70"/>
        <v>Revenue</v>
      </c>
      <c r="K227" s="209">
        <f t="shared" si="70"/>
        <v>0</v>
      </c>
      <c r="L227" s="210">
        <f t="shared" si="70"/>
        <v>0</v>
      </c>
      <c r="M227" s="164"/>
      <c r="N227" s="45"/>
      <c r="O227" s="45"/>
      <c r="P227" s="45"/>
      <c r="Q227" s="45"/>
      <c r="R227" s="45"/>
      <c r="S227" s="45"/>
      <c r="T227" s="45"/>
      <c r="U227" s="45"/>
      <c r="V227" s="45"/>
      <c r="W227" s="45"/>
    </row>
    <row r="228" spans="1:23" ht="18.75" customHeight="1">
      <c r="A228" s="22" t="s">
        <v>39</v>
      </c>
      <c r="B228" s="22"/>
      <c r="C228" s="161">
        <f aca="true" t="shared" si="71" ref="C228:L228">IF(C$227="Preclinical",$D$50,IF(C$227="Phase 1",$D$51,IF(C$227="Phase 2",$D$52,IF(C$227="Phase 3",$D$53,IF(C$227="FDA",$D$54,100%)))))</f>
        <v>1</v>
      </c>
      <c r="D228" s="162">
        <f t="shared" si="71"/>
        <v>1</v>
      </c>
      <c r="E228" s="162">
        <f t="shared" si="71"/>
        <v>1</v>
      </c>
      <c r="F228" s="162">
        <f t="shared" si="71"/>
        <v>1</v>
      </c>
      <c r="G228" s="162">
        <f t="shared" si="71"/>
        <v>1</v>
      </c>
      <c r="H228" s="162">
        <f t="shared" si="71"/>
        <v>1</v>
      </c>
      <c r="I228" s="162">
        <f t="shared" si="71"/>
        <v>1</v>
      </c>
      <c r="J228" s="162">
        <f t="shared" si="71"/>
        <v>1</v>
      </c>
      <c r="K228" s="162">
        <f t="shared" si="71"/>
        <v>1</v>
      </c>
      <c r="L228" s="163">
        <f t="shared" si="71"/>
        <v>1</v>
      </c>
      <c r="M228" s="164"/>
      <c r="N228" s="45"/>
      <c r="O228" s="45"/>
      <c r="P228" s="45"/>
      <c r="Q228" s="45"/>
      <c r="R228" s="45"/>
      <c r="S228" s="45"/>
      <c r="T228" s="45"/>
      <c r="U228" s="45"/>
      <c r="V228" s="45"/>
      <c r="W228" s="45"/>
    </row>
    <row r="229" spans="1:23" ht="18.75" customHeight="1">
      <c r="A229" s="103"/>
      <c r="B229" s="22"/>
      <c r="C229" s="29"/>
      <c r="D229" s="29"/>
      <c r="E229" s="29"/>
      <c r="F229" s="29"/>
      <c r="G229" s="29"/>
      <c r="H229" s="29"/>
      <c r="I229" s="29"/>
      <c r="J229" s="29"/>
      <c r="K229" s="29"/>
      <c r="L229" s="29"/>
      <c r="M229" s="164"/>
      <c r="N229" s="45"/>
      <c r="O229" s="45"/>
      <c r="P229" s="45"/>
      <c r="Q229" s="45"/>
      <c r="R229" s="45"/>
      <c r="S229" s="45"/>
      <c r="T229" s="45"/>
      <c r="U229" s="45"/>
      <c r="V229" s="45"/>
      <c r="W229" s="45"/>
    </row>
    <row r="230" spans="1:23" ht="18.75" customHeight="1">
      <c r="A230" s="103" t="s">
        <v>52</v>
      </c>
      <c r="B230" s="160" t="s">
        <v>38</v>
      </c>
      <c r="C230" s="29"/>
      <c r="D230" s="29"/>
      <c r="E230" s="29"/>
      <c r="F230" s="29"/>
      <c r="G230" s="29"/>
      <c r="H230" s="29"/>
      <c r="I230" s="29"/>
      <c r="J230" s="29"/>
      <c r="K230" s="29"/>
      <c r="L230" s="29"/>
      <c r="M230" s="164"/>
      <c r="N230" s="45"/>
      <c r="O230" s="45"/>
      <c r="P230" s="45"/>
      <c r="Q230" s="45"/>
      <c r="R230" s="45"/>
      <c r="S230" s="45"/>
      <c r="T230" s="45"/>
      <c r="U230" s="45"/>
      <c r="V230" s="45"/>
      <c r="W230" s="45"/>
    </row>
    <row r="231" spans="1:23" ht="18.75" customHeight="1">
      <c r="A231" s="3" t="s">
        <v>35</v>
      </c>
      <c r="B231" s="152">
        <f>$D$32</f>
        <v>10000</v>
      </c>
      <c r="C231" s="144">
        <f aca="true" t="shared" si="72" ref="C231:L231">C165/C$228</f>
        <v>0</v>
      </c>
      <c r="D231" s="145">
        <f t="shared" si="72"/>
        <v>0</v>
      </c>
      <c r="E231" s="145">
        <f t="shared" si="72"/>
        <v>0</v>
      </c>
      <c r="F231" s="145">
        <f t="shared" si="72"/>
        <v>0</v>
      </c>
      <c r="G231" s="145">
        <f t="shared" si="72"/>
        <v>0</v>
      </c>
      <c r="H231" s="145">
        <f t="shared" si="72"/>
        <v>0</v>
      </c>
      <c r="I231" s="145">
        <f t="shared" si="72"/>
        <v>0</v>
      </c>
      <c r="J231" s="145">
        <f t="shared" si="72"/>
        <v>0</v>
      </c>
      <c r="K231" s="145">
        <f t="shared" si="72"/>
        <v>0</v>
      </c>
      <c r="L231" s="146">
        <f t="shared" si="72"/>
        <v>0</v>
      </c>
      <c r="M231" s="29">
        <f aca="true" t="shared" si="73" ref="M231:M242">SUM(C197:L197,C231:L231)</f>
        <v>286134.14409434306</v>
      </c>
      <c r="N231" s="45"/>
      <c r="O231" s="45"/>
      <c r="P231" s="45"/>
      <c r="Q231" s="45"/>
      <c r="R231" s="45"/>
      <c r="S231" s="45"/>
      <c r="T231" s="45"/>
      <c r="U231" s="45"/>
      <c r="V231" s="45"/>
      <c r="W231" s="45"/>
    </row>
    <row r="232" spans="1:23" ht="18.75" customHeight="1">
      <c r="A232" s="3" t="s">
        <v>34</v>
      </c>
      <c r="B232" s="152">
        <f>IF(D24=0,0,$D$33)</f>
        <v>500000</v>
      </c>
      <c r="C232" s="147">
        <f aca="true" t="shared" si="74" ref="C232:L232">C166/C$228</f>
        <v>0</v>
      </c>
      <c r="D232" s="94">
        <f t="shared" si="74"/>
        <v>0</v>
      </c>
      <c r="E232" s="94">
        <f t="shared" si="74"/>
        <v>0</v>
      </c>
      <c r="F232" s="94">
        <f t="shared" si="74"/>
        <v>0</v>
      </c>
      <c r="G232" s="94">
        <f t="shared" si="74"/>
        <v>0</v>
      </c>
      <c r="H232" s="94">
        <f t="shared" si="74"/>
        <v>0</v>
      </c>
      <c r="I232" s="94">
        <f t="shared" si="74"/>
        <v>0</v>
      </c>
      <c r="J232" s="94">
        <f t="shared" si="74"/>
        <v>0</v>
      </c>
      <c r="K232" s="94">
        <f t="shared" si="74"/>
        <v>0</v>
      </c>
      <c r="L232" s="148">
        <f t="shared" si="74"/>
        <v>0</v>
      </c>
      <c r="M232" s="29">
        <f t="shared" si="73"/>
        <v>5000000</v>
      </c>
      <c r="N232" s="45"/>
      <c r="O232" s="45"/>
      <c r="P232" s="45"/>
      <c r="Q232" s="45"/>
      <c r="R232" s="45"/>
      <c r="S232" s="45"/>
      <c r="T232" s="45"/>
      <c r="U232" s="45"/>
      <c r="V232" s="45"/>
      <c r="W232" s="45"/>
    </row>
    <row r="233" spans="1:23" ht="18.75" customHeight="1">
      <c r="A233" s="3" t="s">
        <v>65</v>
      </c>
      <c r="B233" s="152">
        <f>IF(D25=0,0,$D$34*D18/D25)</f>
        <v>600000</v>
      </c>
      <c r="C233" s="147">
        <f aca="true" t="shared" si="75" ref="C233:L233">C167/C$228</f>
        <v>0</v>
      </c>
      <c r="D233" s="94">
        <f t="shared" si="75"/>
        <v>0</v>
      </c>
      <c r="E233" s="94">
        <f t="shared" si="75"/>
        <v>0</v>
      </c>
      <c r="F233" s="94">
        <f t="shared" si="75"/>
        <v>0</v>
      </c>
      <c r="G233" s="94">
        <f t="shared" si="75"/>
        <v>0</v>
      </c>
      <c r="H233" s="94">
        <f t="shared" si="75"/>
        <v>0</v>
      </c>
      <c r="I233" s="94">
        <f t="shared" si="75"/>
        <v>0</v>
      </c>
      <c r="J233" s="94">
        <f t="shared" si="75"/>
        <v>0</v>
      </c>
      <c r="K233" s="94">
        <f t="shared" si="75"/>
        <v>0</v>
      </c>
      <c r="L233" s="148">
        <f t="shared" si="75"/>
        <v>0</v>
      </c>
      <c r="M233" s="29">
        <f t="shared" si="73"/>
        <v>3000000</v>
      </c>
      <c r="N233" s="45"/>
      <c r="O233" s="45"/>
      <c r="P233" s="45"/>
      <c r="Q233" s="45"/>
      <c r="R233" s="45"/>
      <c r="S233" s="45"/>
      <c r="T233" s="45"/>
      <c r="U233" s="45"/>
      <c r="V233" s="45"/>
      <c r="W233" s="45"/>
    </row>
    <row r="234" spans="1:23" ht="18.75" customHeight="1">
      <c r="A234" s="3" t="s">
        <v>61</v>
      </c>
      <c r="B234" s="152">
        <f>IF(D26=0,0,$D$35*D19/D26)</f>
        <v>1200000</v>
      </c>
      <c r="C234" s="147">
        <f aca="true" t="shared" si="76" ref="C234:L234">C168/C$228</f>
        <v>0</v>
      </c>
      <c r="D234" s="94">
        <f t="shared" si="76"/>
        <v>0</v>
      </c>
      <c r="E234" s="94">
        <f t="shared" si="76"/>
        <v>0</v>
      </c>
      <c r="F234" s="94">
        <f t="shared" si="76"/>
        <v>0</v>
      </c>
      <c r="G234" s="94">
        <f t="shared" si="76"/>
        <v>0</v>
      </c>
      <c r="H234" s="94">
        <f t="shared" si="76"/>
        <v>0</v>
      </c>
      <c r="I234" s="94">
        <f t="shared" si="76"/>
        <v>0</v>
      </c>
      <c r="J234" s="94">
        <f t="shared" si="76"/>
        <v>0</v>
      </c>
      <c r="K234" s="94">
        <f t="shared" si="76"/>
        <v>0</v>
      </c>
      <c r="L234" s="148">
        <f t="shared" si="76"/>
        <v>0</v>
      </c>
      <c r="M234" s="29">
        <f t="shared" si="73"/>
        <v>8000000</v>
      </c>
      <c r="N234" s="45"/>
      <c r="O234" s="45"/>
      <c r="P234" s="45"/>
      <c r="Q234" s="45"/>
      <c r="R234" s="45"/>
      <c r="S234" s="45"/>
      <c r="T234" s="45"/>
      <c r="U234" s="45"/>
      <c r="V234" s="45"/>
      <c r="W234" s="45"/>
    </row>
    <row r="235" spans="1:23" ht="18.75" customHeight="1">
      <c r="A235" s="3" t="s">
        <v>57</v>
      </c>
      <c r="B235" s="152">
        <f>IF(D27=0,0,$D$36*D20/D27)</f>
        <v>4000000</v>
      </c>
      <c r="C235" s="147">
        <f aca="true" t="shared" si="77" ref="C235:L235">C169/C$228</f>
        <v>0</v>
      </c>
      <c r="D235" s="94">
        <f t="shared" si="77"/>
        <v>0</v>
      </c>
      <c r="E235" s="94">
        <f t="shared" si="77"/>
        <v>0</v>
      </c>
      <c r="F235" s="94">
        <f t="shared" si="77"/>
        <v>0</v>
      </c>
      <c r="G235" s="94">
        <f t="shared" si="77"/>
        <v>0</v>
      </c>
      <c r="H235" s="94">
        <f t="shared" si="77"/>
        <v>0</v>
      </c>
      <c r="I235" s="94">
        <f t="shared" si="77"/>
        <v>0</v>
      </c>
      <c r="J235" s="94">
        <f t="shared" si="77"/>
        <v>0</v>
      </c>
      <c r="K235" s="94">
        <f t="shared" si="77"/>
        <v>0</v>
      </c>
      <c r="L235" s="148">
        <f t="shared" si="77"/>
        <v>0</v>
      </c>
      <c r="M235" s="29">
        <f t="shared" si="73"/>
        <v>17910447.761194028</v>
      </c>
      <c r="N235" s="3"/>
      <c r="P235" s="3"/>
      <c r="Q235" s="3"/>
      <c r="R235" s="3"/>
      <c r="S235" s="3"/>
      <c r="T235" s="3"/>
      <c r="U235" s="3"/>
      <c r="V235" s="3"/>
      <c r="W235" s="3"/>
    </row>
    <row r="236" spans="1:13" ht="18.75">
      <c r="A236" s="3" t="s">
        <v>7</v>
      </c>
      <c r="B236" s="153">
        <f>IF(D28=0,0,$D$37/D28)</f>
        <v>650000</v>
      </c>
      <c r="C236" s="94">
        <f>IF(C227="FDA",C170/C$228,0)</f>
        <v>0</v>
      </c>
      <c r="D236" s="94">
        <f>IF(D227="FDA",D170/D$228,0)</f>
        <v>0</v>
      </c>
      <c r="E236" s="94">
        <f aca="true" t="shared" si="78" ref="E236:L236">IF(E227="FDA",E170/E$228,0)</f>
        <v>0</v>
      </c>
      <c r="F236" s="94">
        <f t="shared" si="78"/>
        <v>0</v>
      </c>
      <c r="G236" s="94">
        <f t="shared" si="78"/>
        <v>0</v>
      </c>
      <c r="H236" s="94">
        <f t="shared" si="78"/>
        <v>0</v>
      </c>
      <c r="I236" s="94">
        <f t="shared" si="78"/>
        <v>0</v>
      </c>
      <c r="J236" s="94">
        <f t="shared" si="78"/>
        <v>0</v>
      </c>
      <c r="K236" s="94">
        <f t="shared" si="78"/>
        <v>0</v>
      </c>
      <c r="L236" s="94">
        <f t="shared" si="78"/>
        <v>0</v>
      </c>
      <c r="M236" s="47">
        <f t="shared" si="73"/>
        <v>802469.1358024691</v>
      </c>
    </row>
    <row r="237" spans="1:13" ht="18" customHeight="1">
      <c r="A237" s="3" t="s">
        <v>104</v>
      </c>
      <c r="B237" s="152">
        <f>IF(D25=0,0,$D$38/D25)</f>
        <v>500000</v>
      </c>
      <c r="C237" s="147">
        <f aca="true" t="shared" si="79" ref="C237:L237">C171/C$228</f>
        <v>0</v>
      </c>
      <c r="D237" s="94">
        <f t="shared" si="79"/>
        <v>0</v>
      </c>
      <c r="E237" s="94">
        <f t="shared" si="79"/>
        <v>0</v>
      </c>
      <c r="F237" s="94">
        <f t="shared" si="79"/>
        <v>0</v>
      </c>
      <c r="G237" s="94">
        <f t="shared" si="79"/>
        <v>0</v>
      </c>
      <c r="H237" s="94">
        <f t="shared" si="79"/>
        <v>0</v>
      </c>
      <c r="I237" s="94">
        <f t="shared" si="79"/>
        <v>0</v>
      </c>
      <c r="J237" s="94">
        <f t="shared" si="79"/>
        <v>0</v>
      </c>
      <c r="K237" s="94">
        <f t="shared" si="79"/>
        <v>0</v>
      </c>
      <c r="L237" s="148">
        <f t="shared" si="79"/>
        <v>0</v>
      </c>
      <c r="M237" s="29">
        <f t="shared" si="73"/>
        <v>2500000</v>
      </c>
    </row>
    <row r="238" spans="1:13" ht="18" customHeight="1">
      <c r="A238" s="3" t="s">
        <v>105</v>
      </c>
      <c r="B238" s="152">
        <f>IF(D26=0,0,$D$39/D26)</f>
        <v>500000</v>
      </c>
      <c r="C238" s="147">
        <f aca="true" t="shared" si="80" ref="C238:L238">C172/C$228</f>
        <v>0</v>
      </c>
      <c r="D238" s="94">
        <f t="shared" si="80"/>
        <v>0</v>
      </c>
      <c r="E238" s="94">
        <f t="shared" si="80"/>
        <v>0</v>
      </c>
      <c r="F238" s="94">
        <f t="shared" si="80"/>
        <v>0</v>
      </c>
      <c r="G238" s="94">
        <f t="shared" si="80"/>
        <v>0</v>
      </c>
      <c r="H238" s="94">
        <f t="shared" si="80"/>
        <v>0</v>
      </c>
      <c r="I238" s="94">
        <f t="shared" si="80"/>
        <v>0</v>
      </c>
      <c r="J238" s="94">
        <f t="shared" si="80"/>
        <v>0</v>
      </c>
      <c r="K238" s="94">
        <f t="shared" si="80"/>
        <v>0</v>
      </c>
      <c r="L238" s="148">
        <f t="shared" si="80"/>
        <v>0</v>
      </c>
      <c r="M238" s="29">
        <f t="shared" si="73"/>
        <v>3333333.3333333335</v>
      </c>
    </row>
    <row r="239" spans="1:13" ht="18" customHeight="1">
      <c r="A239" s="3" t="s">
        <v>106</v>
      </c>
      <c r="B239" s="152">
        <f>IF(D25=0,0,IF(D27=1,$D$40,$D$40/2))</f>
        <v>750000</v>
      </c>
      <c r="C239" s="147">
        <f aca="true" t="shared" si="81" ref="C239:L239">C173/C$228</f>
        <v>0</v>
      </c>
      <c r="D239" s="94">
        <f t="shared" si="81"/>
        <v>0</v>
      </c>
      <c r="E239" s="94">
        <f t="shared" si="81"/>
        <v>0</v>
      </c>
      <c r="F239" s="94">
        <f t="shared" si="81"/>
        <v>0</v>
      </c>
      <c r="G239" s="94">
        <f t="shared" si="81"/>
        <v>0</v>
      </c>
      <c r="H239" s="94">
        <f t="shared" si="81"/>
        <v>0</v>
      </c>
      <c r="I239" s="94">
        <f t="shared" si="81"/>
        <v>0</v>
      </c>
      <c r="J239" s="94">
        <f t="shared" si="81"/>
        <v>0</v>
      </c>
      <c r="K239" s="94">
        <f t="shared" si="81"/>
        <v>0</v>
      </c>
      <c r="L239" s="148">
        <f t="shared" si="81"/>
        <v>0</v>
      </c>
      <c r="M239" s="29">
        <f t="shared" si="73"/>
        <v>2238805.9701492535</v>
      </c>
    </row>
    <row r="240" spans="1:13" ht="18.75">
      <c r="A240" s="3" t="s">
        <v>18</v>
      </c>
      <c r="B240" s="59">
        <f>$D$41</f>
        <v>0.6</v>
      </c>
      <c r="C240" s="147">
        <f aca="true" t="shared" si="82" ref="C240:L240">C174/C$228</f>
        <v>1407442679.7244065</v>
      </c>
      <c r="D240" s="94">
        <f t="shared" si="82"/>
        <v>2116864162.439494</v>
      </c>
      <c r="E240" s="94">
        <f t="shared" si="82"/>
        <v>2122579695.6780798</v>
      </c>
      <c r="F240" s="94">
        <f t="shared" si="82"/>
        <v>2128310660.8564105</v>
      </c>
      <c r="G240" s="94">
        <f t="shared" si="82"/>
        <v>2134057099.6407228</v>
      </c>
      <c r="H240" s="94">
        <f t="shared" si="82"/>
        <v>1604864290.3573143</v>
      </c>
      <c r="I240" s="94">
        <f t="shared" si="82"/>
        <v>1072798282.6275194</v>
      </c>
      <c r="J240" s="94">
        <f t="shared" si="82"/>
        <v>537847418.9953068</v>
      </c>
      <c r="K240" s="94">
        <f t="shared" si="82"/>
        <v>0</v>
      </c>
      <c r="L240" s="148">
        <f t="shared" si="82"/>
        <v>0</v>
      </c>
      <c r="M240" s="29">
        <f t="shared" si="73"/>
        <v>13826590698.878347</v>
      </c>
    </row>
    <row r="241" spans="1:13" ht="18.75">
      <c r="A241" s="3" t="s">
        <v>10</v>
      </c>
      <c r="B241" s="59">
        <f>$D$45</f>
        <v>0.05</v>
      </c>
      <c r="C241" s="147">
        <f aca="true" t="shared" si="83" ref="C241:L241">C175/C$228</f>
        <v>117286889.97703388</v>
      </c>
      <c r="D241" s="94">
        <f t="shared" si="83"/>
        <v>176405346.86995783</v>
      </c>
      <c r="E241" s="94">
        <f t="shared" si="83"/>
        <v>176881641.30650666</v>
      </c>
      <c r="F241" s="94">
        <f t="shared" si="83"/>
        <v>177359221.73803425</v>
      </c>
      <c r="G241" s="94">
        <f t="shared" si="83"/>
        <v>177838091.63672692</v>
      </c>
      <c r="H241" s="94">
        <f t="shared" si="83"/>
        <v>133738690.86310954</v>
      </c>
      <c r="I241" s="94">
        <f t="shared" si="83"/>
        <v>89399856.88562661</v>
      </c>
      <c r="J241" s="94">
        <f t="shared" si="83"/>
        <v>44820618.249608904</v>
      </c>
      <c r="K241" s="94">
        <f t="shared" si="83"/>
        <v>0</v>
      </c>
      <c r="L241" s="148">
        <f t="shared" si="83"/>
        <v>0</v>
      </c>
      <c r="M241" s="29">
        <f t="shared" si="73"/>
        <v>1152215891.573196</v>
      </c>
    </row>
    <row r="242" spans="1:13" ht="18.75">
      <c r="A242" s="19" t="s">
        <v>9</v>
      </c>
      <c r="B242" s="75"/>
      <c r="C242" s="149">
        <f aca="true" t="shared" si="84" ref="C242:L242">C176/C$228</f>
        <v>0</v>
      </c>
      <c r="D242" s="150">
        <f t="shared" si="84"/>
        <v>0</v>
      </c>
      <c r="E242" s="150">
        <f t="shared" si="84"/>
        <v>0</v>
      </c>
      <c r="F242" s="150">
        <f t="shared" si="84"/>
        <v>0</v>
      </c>
      <c r="G242" s="150">
        <f t="shared" si="84"/>
        <v>0</v>
      </c>
      <c r="H242" s="150">
        <f t="shared" si="84"/>
        <v>0</v>
      </c>
      <c r="I242" s="150">
        <f t="shared" si="84"/>
        <v>0</v>
      </c>
      <c r="J242" s="150">
        <f t="shared" si="84"/>
        <v>0</v>
      </c>
      <c r="K242" s="150">
        <f t="shared" si="84"/>
        <v>0</v>
      </c>
      <c r="L242" s="151">
        <f t="shared" si="84"/>
        <v>0</v>
      </c>
      <c r="M242" s="159">
        <f t="shared" si="73"/>
        <v>0</v>
      </c>
    </row>
    <row r="243" spans="1:13" ht="18.75">
      <c r="A243" s="3" t="s">
        <v>53</v>
      </c>
      <c r="B243" s="22"/>
      <c r="C243" s="62">
        <f aca="true" t="shared" si="85" ref="C243:L243">SUM(C231:C242)</f>
        <v>1524729569.7014403</v>
      </c>
      <c r="D243" s="62">
        <f t="shared" si="85"/>
        <v>2293269509.3094516</v>
      </c>
      <c r="E243" s="62">
        <f t="shared" si="85"/>
        <v>2299461336.9845867</v>
      </c>
      <c r="F243" s="62">
        <f t="shared" si="85"/>
        <v>2305669882.5944448</v>
      </c>
      <c r="G243" s="62">
        <f t="shared" si="85"/>
        <v>2311895191.2774496</v>
      </c>
      <c r="H243" s="62">
        <f t="shared" si="85"/>
        <v>1738602981.220424</v>
      </c>
      <c r="I243" s="62">
        <f t="shared" si="85"/>
        <v>1162198139.513146</v>
      </c>
      <c r="J243" s="62">
        <f t="shared" si="85"/>
        <v>582668037.2449157</v>
      </c>
      <c r="K243" s="62">
        <f t="shared" si="85"/>
        <v>0</v>
      </c>
      <c r="L243" s="62">
        <f t="shared" si="85"/>
        <v>0</v>
      </c>
      <c r="M243" s="29">
        <f>SUM(C215:L215,C243:L243)</f>
        <v>42135349310.0013</v>
      </c>
    </row>
    <row r="244" spans="1:13" ht="18.75">
      <c r="A244" s="22"/>
      <c r="B244" s="22"/>
      <c r="C244" s="62"/>
      <c r="D244" s="62"/>
      <c r="E244" s="62"/>
      <c r="F244" s="62"/>
      <c r="G244" s="62"/>
      <c r="H244" s="62"/>
      <c r="I244" s="62"/>
      <c r="J244" s="62"/>
      <c r="K244" s="62"/>
      <c r="L244" s="62"/>
      <c r="M244" s="22"/>
    </row>
    <row r="245" spans="1:13" ht="18.75">
      <c r="A245" s="24" t="s">
        <v>79</v>
      </c>
      <c r="B245" s="24"/>
      <c r="C245" s="144">
        <f>C$243+NPV($D$46,D$243:$L243)</f>
        <v>8732389242.700563</v>
      </c>
      <c r="D245" s="145">
        <f>D$243+NPV($D$46,E$243:$L243)</f>
        <v>8649191607.598948</v>
      </c>
      <c r="E245" s="145">
        <f>E$243+NPV($D$46,F$243:$L243)</f>
        <v>7627106517.947395</v>
      </c>
      <c r="F245" s="145">
        <f>F$243+NPV($D$46,G$243:$L243)</f>
        <v>6393174217.155371</v>
      </c>
      <c r="G245" s="145">
        <f>G$243+NPV($D$46,H$243:$L243)</f>
        <v>4905005201.47311</v>
      </c>
      <c r="H245" s="145">
        <f>H$243+NPV($D$46,I$243:$L243)</f>
        <v>3111732012.2347927</v>
      </c>
      <c r="I245" s="145">
        <f>I$243+NPV($D$46,J$243:$L243)</f>
        <v>1647754837.2172422</v>
      </c>
      <c r="J245" s="145">
        <f>J$243+NPV($D$46,K$243:$L243)</f>
        <v>582668037.2449157</v>
      </c>
      <c r="K245" s="145">
        <f>K$243+NPV($D$46,L$243)</f>
        <v>0</v>
      </c>
      <c r="L245" s="146">
        <f>L$243</f>
        <v>0</v>
      </c>
      <c r="M245" s="22"/>
    </row>
    <row r="246" spans="1:23" ht="18.75" customHeight="1">
      <c r="A246" s="24" t="s">
        <v>66</v>
      </c>
      <c r="B246" s="24"/>
      <c r="C246" s="102">
        <f>C104</f>
        <v>13434444988.770098</v>
      </c>
      <c r="D246" s="159">
        <f aca="true" t="shared" si="86" ref="D246:L246">D104</f>
        <v>13306448627.075306</v>
      </c>
      <c r="E246" s="159">
        <f t="shared" si="86"/>
        <v>11734010027.611378</v>
      </c>
      <c r="F246" s="159">
        <f t="shared" si="86"/>
        <v>9835652641.777493</v>
      </c>
      <c r="G246" s="159">
        <f t="shared" si="86"/>
        <v>7546161848.42017</v>
      </c>
      <c r="H246" s="159">
        <f t="shared" si="86"/>
        <v>4787280018.822758</v>
      </c>
      <c r="I246" s="159">
        <f t="shared" si="86"/>
        <v>2535007441.8726807</v>
      </c>
      <c r="J246" s="159">
        <f t="shared" si="86"/>
        <v>896412364.9921781</v>
      </c>
      <c r="K246" s="159">
        <f t="shared" si="86"/>
        <v>0</v>
      </c>
      <c r="L246" s="171">
        <f t="shared" si="86"/>
        <v>0</v>
      </c>
      <c r="M246" s="164"/>
      <c r="N246" s="45"/>
      <c r="O246" s="45"/>
      <c r="P246" s="45"/>
      <c r="Q246" s="45"/>
      <c r="R246" s="45"/>
      <c r="S246" s="45"/>
      <c r="T246" s="45"/>
      <c r="U246" s="45"/>
      <c r="V246" s="45"/>
      <c r="W246" s="45"/>
    </row>
    <row r="247" spans="1:23" ht="18.75" customHeight="1">
      <c r="A247" s="24"/>
      <c r="B247" s="24"/>
      <c r="C247" s="62"/>
      <c r="D247" s="62"/>
      <c r="E247" s="62"/>
      <c r="F247" s="62"/>
      <c r="G247" s="62"/>
      <c r="H247" s="62"/>
      <c r="I247" s="62"/>
      <c r="J247" s="62"/>
      <c r="K247" s="62"/>
      <c r="L247" s="62"/>
      <c r="M247" s="164"/>
      <c r="N247" s="45"/>
      <c r="O247" s="45"/>
      <c r="P247" s="45"/>
      <c r="Q247" s="45"/>
      <c r="R247" s="45"/>
      <c r="S247" s="45"/>
      <c r="T247" s="45"/>
      <c r="U247" s="45"/>
      <c r="V247" s="45"/>
      <c r="W247" s="45"/>
    </row>
    <row r="248" spans="1:13" ht="18.75">
      <c r="A248" s="75" t="s">
        <v>78</v>
      </c>
      <c r="B248" s="75"/>
      <c r="C248" s="165">
        <f>+C228</f>
        <v>1</v>
      </c>
      <c r="D248" s="165">
        <f aca="true" t="shared" si="87" ref="D248:L248">+D228</f>
        <v>1</v>
      </c>
      <c r="E248" s="165">
        <f t="shared" si="87"/>
        <v>1</v>
      </c>
      <c r="F248" s="165">
        <f t="shared" si="87"/>
        <v>1</v>
      </c>
      <c r="G248" s="165">
        <f t="shared" si="87"/>
        <v>1</v>
      </c>
      <c r="H248" s="165">
        <f t="shared" si="87"/>
        <v>1</v>
      </c>
      <c r="I248" s="165">
        <f t="shared" si="87"/>
        <v>1</v>
      </c>
      <c r="J248" s="165">
        <f t="shared" si="87"/>
        <v>1</v>
      </c>
      <c r="K248" s="165">
        <f t="shared" si="87"/>
        <v>1</v>
      </c>
      <c r="L248" s="165">
        <f t="shared" si="87"/>
        <v>1</v>
      </c>
      <c r="M248" s="22"/>
    </row>
    <row r="249" spans="1:13" ht="18.75">
      <c r="A249" s="24" t="s">
        <v>110</v>
      </c>
      <c r="B249" s="24"/>
      <c r="C249" s="94">
        <f aca="true" t="shared" si="88" ref="C249:L249">+C245*C248</f>
        <v>8732389242.700563</v>
      </c>
      <c r="D249" s="94">
        <f t="shared" si="88"/>
        <v>8649191607.598948</v>
      </c>
      <c r="E249" s="94">
        <f t="shared" si="88"/>
        <v>7627106517.947395</v>
      </c>
      <c r="F249" s="94">
        <f t="shared" si="88"/>
        <v>6393174217.155371</v>
      </c>
      <c r="G249" s="94">
        <f t="shared" si="88"/>
        <v>4905005201.47311</v>
      </c>
      <c r="H249" s="94">
        <f t="shared" si="88"/>
        <v>3111732012.2347927</v>
      </c>
      <c r="I249" s="94">
        <f t="shared" si="88"/>
        <v>1647754837.2172422</v>
      </c>
      <c r="J249" s="94">
        <f t="shared" si="88"/>
        <v>582668037.2449157</v>
      </c>
      <c r="K249" s="94">
        <f t="shared" si="88"/>
        <v>0</v>
      </c>
      <c r="L249" s="94">
        <f t="shared" si="88"/>
        <v>0</v>
      </c>
      <c r="M249" s="22"/>
    </row>
    <row r="250" spans="1:23" ht="18.75" customHeight="1" thickBot="1">
      <c r="A250" s="31" t="s">
        <v>119</v>
      </c>
      <c r="B250" s="31"/>
      <c r="C250" s="175">
        <f aca="true" t="shared" si="89" ref="C250:L250">+C246*C228</f>
        <v>13434444988.770098</v>
      </c>
      <c r="D250" s="175">
        <f t="shared" si="89"/>
        <v>13306448627.075306</v>
      </c>
      <c r="E250" s="175">
        <f t="shared" si="89"/>
        <v>11734010027.611378</v>
      </c>
      <c r="F250" s="175">
        <f t="shared" si="89"/>
        <v>9835652641.777493</v>
      </c>
      <c r="G250" s="175">
        <f t="shared" si="89"/>
        <v>7546161848.42017</v>
      </c>
      <c r="H250" s="175">
        <f t="shared" si="89"/>
        <v>4787280018.822758</v>
      </c>
      <c r="I250" s="175">
        <f t="shared" si="89"/>
        <v>2535007441.8726807</v>
      </c>
      <c r="J250" s="175">
        <f t="shared" si="89"/>
        <v>896412364.9921781</v>
      </c>
      <c r="K250" s="175">
        <f t="shared" si="89"/>
        <v>0</v>
      </c>
      <c r="L250" s="175">
        <f t="shared" si="89"/>
        <v>0</v>
      </c>
      <c r="M250" s="164"/>
      <c r="N250" s="45"/>
      <c r="O250" s="45"/>
      <c r="P250" s="45"/>
      <c r="Q250" s="45"/>
      <c r="R250" s="45"/>
      <c r="S250" s="45"/>
      <c r="T250" s="45"/>
      <c r="U250" s="45"/>
      <c r="V250" s="45"/>
      <c r="W250" s="45"/>
    </row>
    <row r="251" spans="1:14" ht="20.25" thickBot="1">
      <c r="A251" s="58" t="s">
        <v>40</v>
      </c>
      <c r="B251" s="24"/>
      <c r="C251" s="172">
        <f aca="true" t="shared" si="90" ref="C251:L251">+C250-C249</f>
        <v>4702055746.069534</v>
      </c>
      <c r="D251" s="173">
        <f t="shared" si="90"/>
        <v>4657257019.476358</v>
      </c>
      <c r="E251" s="173">
        <f t="shared" si="90"/>
        <v>4106903509.6639824</v>
      </c>
      <c r="F251" s="173">
        <f t="shared" si="90"/>
        <v>3442478424.622122</v>
      </c>
      <c r="G251" s="173">
        <f t="shared" si="90"/>
        <v>2641156646.9470596</v>
      </c>
      <c r="H251" s="173">
        <f t="shared" si="90"/>
        <v>1675548006.587965</v>
      </c>
      <c r="I251" s="173">
        <f t="shared" si="90"/>
        <v>887252604.6554384</v>
      </c>
      <c r="J251" s="173">
        <f t="shared" si="90"/>
        <v>313744327.74726236</v>
      </c>
      <c r="K251" s="173">
        <f t="shared" si="90"/>
        <v>0</v>
      </c>
      <c r="L251" s="174">
        <f t="shared" si="90"/>
        <v>0</v>
      </c>
      <c r="M251" s="22"/>
      <c r="N251" t="s">
        <v>102</v>
      </c>
    </row>
    <row r="252" spans="1:13" ht="18.75">
      <c r="A252" s="24"/>
      <c r="B252" s="24"/>
      <c r="C252" s="62"/>
      <c r="D252" s="62"/>
      <c r="E252" s="62"/>
      <c r="F252" s="62"/>
      <c r="G252" s="62"/>
      <c r="H252" s="62"/>
      <c r="I252" s="62"/>
      <c r="J252" s="62"/>
      <c r="K252" s="62"/>
      <c r="L252" s="62"/>
      <c r="M252" s="22"/>
    </row>
    <row r="253" spans="1:6" ht="20.25">
      <c r="A253" s="89" t="s">
        <v>24</v>
      </c>
      <c r="C253" s="45"/>
      <c r="D253" s="45"/>
      <c r="E253" s="45"/>
      <c r="F253" s="45"/>
    </row>
    <row r="254" spans="1:6" ht="19.5">
      <c r="A254" s="103" t="s">
        <v>139</v>
      </c>
      <c r="C254" s="45"/>
      <c r="D254" s="45"/>
      <c r="E254" s="45"/>
      <c r="F254" s="45"/>
    </row>
    <row r="255" spans="1:6" ht="18.75">
      <c r="A255" s="22" t="s">
        <v>137</v>
      </c>
      <c r="C255" s="45"/>
      <c r="D255" s="45"/>
      <c r="E255" s="45"/>
      <c r="F255" s="45"/>
    </row>
    <row r="256" spans="1:13" ht="33.75">
      <c r="A256" s="109" t="s">
        <v>86</v>
      </c>
      <c r="B256" s="41"/>
      <c r="C256" s="42"/>
      <c r="M256" s="84" t="str">
        <f>+$M$1</f>
        <v>Company/Institution  Name</v>
      </c>
    </row>
    <row r="257" spans="1:13" ht="27.75">
      <c r="A257" s="39" t="str">
        <f>$A$2</f>
        <v>Biotechnology Name</v>
      </c>
      <c r="B257" s="40"/>
      <c r="C257" s="39"/>
      <c r="M257" s="176" t="s">
        <v>25</v>
      </c>
    </row>
    <row r="258" ht="23.25">
      <c r="M258" s="80" t="str">
        <f>+$M$3</f>
        <v>Draft 1.0</v>
      </c>
    </row>
    <row r="311" ht="18.75" thickBot="1"/>
    <row r="312" spans="3:12" ht="34.5" customHeight="1">
      <c r="C312" s="245" t="s">
        <v>66</v>
      </c>
      <c r="D312" s="246"/>
      <c r="G312" s="245" t="s">
        <v>49</v>
      </c>
      <c r="H312" s="247"/>
      <c r="K312" s="245" t="s">
        <v>40</v>
      </c>
      <c r="L312" s="247"/>
    </row>
    <row r="313" spans="3:12" ht="34.5" customHeight="1" thickBot="1">
      <c r="C313" s="243">
        <f>$C$212</f>
        <v>2396435635.116529</v>
      </c>
      <c r="D313" s="244"/>
      <c r="E313" s="71"/>
      <c r="G313" s="241">
        <f>$C$152</f>
        <v>829417583.4917979</v>
      </c>
      <c r="H313" s="242"/>
      <c r="K313" s="243">
        <f>$C$217</f>
        <v>81327324.37909174</v>
      </c>
      <c r="L313" s="244"/>
    </row>
    <row r="314" ht="18.75" thickBot="1"/>
    <row r="315" spans="3:8" ht="26.25">
      <c r="C315" s="245" t="s">
        <v>145</v>
      </c>
      <c r="D315" s="246" t="s">
        <v>145</v>
      </c>
      <c r="G315" s="245" t="s">
        <v>146</v>
      </c>
      <c r="H315" s="247" t="s">
        <v>146</v>
      </c>
    </row>
    <row r="316" spans="3:8" ht="27" thickBot="1">
      <c r="C316" s="243">
        <f>+M175</f>
        <v>1152215891.573196</v>
      </c>
      <c r="D316" s="244"/>
      <c r="G316" s="243">
        <f>+M96</f>
        <v>23044317831.463917</v>
      </c>
      <c r="H316" s="244"/>
    </row>
    <row r="318" ht="20.25">
      <c r="A318" s="89" t="s">
        <v>24</v>
      </c>
    </row>
    <row r="319" ht="23.25">
      <c r="A319" s="224" t="s">
        <v>140</v>
      </c>
    </row>
  </sheetData>
  <mergeCells count="15">
    <mergeCell ref="C315:D315"/>
    <mergeCell ref="C316:D316"/>
    <mergeCell ref="G315:H315"/>
    <mergeCell ref="G316:H316"/>
    <mergeCell ref="A116:M117"/>
    <mergeCell ref="A57:M57"/>
    <mergeCell ref="A114:M115"/>
    <mergeCell ref="A191:B192"/>
    <mergeCell ref="A75:B75"/>
    <mergeCell ref="G313:H313"/>
    <mergeCell ref="C313:D313"/>
    <mergeCell ref="C312:D312"/>
    <mergeCell ref="K312:L312"/>
    <mergeCell ref="K313:L313"/>
    <mergeCell ref="G312:H312"/>
  </mergeCells>
  <printOptions/>
  <pageMargins left="0.5" right="0.5" top="0.75" bottom="0.4" header="0.5" footer="0.5"/>
  <pageSetup horizontalDpi="600" verticalDpi="600" orientation="landscape" scale="38" r:id="rId4"/>
  <headerFooter alignWithMargins="0">
    <oddFooter>&amp;R&amp;18Page &amp;P of &amp;N Pages</oddFooter>
  </headerFooter>
  <rowBreaks count="4" manualBreakCount="4">
    <brk id="57" max="255" man="1"/>
    <brk id="117" max="12" man="1"/>
    <brk id="186" max="12" man="1"/>
    <brk id="255" max="255" man="1"/>
  </rowBreaks>
  <drawing r:id="rId3"/>
  <legacyDrawing r:id="rId2"/>
</worksheet>
</file>

<file path=xl/worksheets/sheet3.xml><?xml version="1.0" encoding="utf-8"?>
<worksheet xmlns="http://schemas.openxmlformats.org/spreadsheetml/2006/main" xmlns:r="http://schemas.openxmlformats.org/officeDocument/2006/relationships">
  <dimension ref="A1:X61"/>
  <sheetViews>
    <sheetView showGridLines="0" zoomScale="90" zoomScaleNormal="90" zoomScaleSheetLayoutView="75" workbookViewId="0" topLeftCell="A1">
      <selection activeCell="H1" sqref="H1"/>
    </sheetView>
  </sheetViews>
  <sheetFormatPr defaultColWidth="9.140625" defaultRowHeight="12.75"/>
  <cols>
    <col min="1" max="1" width="5.57421875" style="0" customWidth="1"/>
    <col min="2" max="2" width="2.8515625" style="0" customWidth="1"/>
    <col min="4" max="4" width="45.7109375" style="0" customWidth="1"/>
    <col min="5" max="6" width="11.140625" style="0" customWidth="1"/>
    <col min="12" max="12" width="27.57421875" style="0" customWidth="1"/>
  </cols>
  <sheetData>
    <row r="1" ht="18">
      <c r="A1" s="3" t="str">
        <f>+Cover!A19</f>
        <v>Company/Institution  Name</v>
      </c>
    </row>
    <row r="2" ht="18">
      <c r="A2" s="43" t="s">
        <v>120</v>
      </c>
    </row>
    <row r="3" spans="1:4" ht="27.75">
      <c r="A3" s="53" t="s">
        <v>20</v>
      </c>
      <c r="B3" s="39"/>
      <c r="C3" s="52"/>
      <c r="D3" s="52"/>
    </row>
    <row r="4" ht="9" customHeight="1"/>
    <row r="5" spans="1:12" ht="12.75">
      <c r="A5" s="54" t="s">
        <v>85</v>
      </c>
      <c r="B5" s="55"/>
      <c r="C5" s="254" t="s">
        <v>122</v>
      </c>
      <c r="D5" s="250"/>
      <c r="E5" s="250"/>
      <c r="F5" s="250"/>
      <c r="G5" s="250"/>
      <c r="H5" s="250"/>
      <c r="I5" s="250"/>
      <c r="J5" s="250"/>
      <c r="K5" s="250"/>
      <c r="L5" s="250"/>
    </row>
    <row r="6" spans="3:12" ht="9" customHeight="1">
      <c r="C6" s="74"/>
      <c r="D6" s="74"/>
      <c r="E6" s="74"/>
      <c r="F6" s="74"/>
      <c r="G6" s="74"/>
      <c r="H6" s="74"/>
      <c r="I6" s="74"/>
      <c r="J6" s="74"/>
      <c r="K6" s="74"/>
      <c r="L6" s="74"/>
    </row>
    <row r="7" spans="1:12" ht="13.5" customHeight="1">
      <c r="A7" s="54" t="s">
        <v>23</v>
      </c>
      <c r="B7" s="55"/>
      <c r="C7" s="256" t="s">
        <v>128</v>
      </c>
      <c r="D7" s="257"/>
      <c r="E7" s="257"/>
      <c r="F7" s="257"/>
      <c r="G7" s="257"/>
      <c r="H7" s="257"/>
      <c r="I7" s="257"/>
      <c r="J7" s="257"/>
      <c r="K7" s="257"/>
      <c r="L7" s="257"/>
    </row>
    <row r="8" spans="3:12" ht="12.75">
      <c r="C8" s="257"/>
      <c r="D8" s="257"/>
      <c r="E8" s="257"/>
      <c r="F8" s="257"/>
      <c r="G8" s="257"/>
      <c r="H8" s="257"/>
      <c r="I8" s="257"/>
      <c r="J8" s="257"/>
      <c r="K8" s="257"/>
      <c r="L8" s="257"/>
    </row>
    <row r="9" spans="3:12" ht="9" customHeight="1">
      <c r="C9" s="90"/>
      <c r="D9" s="90"/>
      <c r="E9" s="90"/>
      <c r="F9" s="90"/>
      <c r="G9" s="90"/>
      <c r="H9" s="90"/>
      <c r="I9" s="90"/>
      <c r="J9" s="90"/>
      <c r="K9" s="90"/>
      <c r="L9" s="90"/>
    </row>
    <row r="10" spans="1:12" ht="12.75">
      <c r="A10" s="54" t="s">
        <v>51</v>
      </c>
      <c r="B10" s="55"/>
      <c r="C10" s="254" t="s">
        <v>129</v>
      </c>
      <c r="D10" s="250"/>
      <c r="E10" s="250"/>
      <c r="F10" s="250"/>
      <c r="G10" s="250"/>
      <c r="H10" s="250"/>
      <c r="I10" s="250"/>
      <c r="J10" s="250"/>
      <c r="K10" s="250"/>
      <c r="L10" s="250"/>
    </row>
    <row r="11" spans="3:12" ht="12.75">
      <c r="C11" s="250"/>
      <c r="D11" s="250"/>
      <c r="E11" s="250"/>
      <c r="F11" s="250"/>
      <c r="G11" s="250"/>
      <c r="H11" s="250"/>
      <c r="I11" s="250"/>
      <c r="J11" s="250"/>
      <c r="K11" s="250"/>
      <c r="L11" s="250"/>
    </row>
    <row r="12" spans="3:12" ht="12.75">
      <c r="C12" t="s">
        <v>130</v>
      </c>
      <c r="D12" s="74"/>
      <c r="E12" s="74"/>
      <c r="F12" s="74"/>
      <c r="G12" s="74"/>
      <c r="H12" s="74"/>
      <c r="I12" s="74"/>
      <c r="J12" s="74"/>
      <c r="K12" s="74"/>
      <c r="L12" s="74"/>
    </row>
    <row r="13" ht="9" customHeight="1"/>
    <row r="14" spans="1:3" ht="12.75">
      <c r="A14" s="54" t="s">
        <v>71</v>
      </c>
      <c r="B14" s="55"/>
      <c r="C14" s="117" t="s">
        <v>138</v>
      </c>
    </row>
    <row r="15" ht="12.75">
      <c r="C15" t="s">
        <v>137</v>
      </c>
    </row>
    <row r="16" spans="3:12" ht="9" customHeight="1">
      <c r="C16" s="74"/>
      <c r="D16" s="74"/>
      <c r="E16" s="74"/>
      <c r="F16" s="74"/>
      <c r="G16" s="74"/>
      <c r="H16" s="74"/>
      <c r="I16" s="74"/>
      <c r="J16" s="74"/>
      <c r="K16" s="74"/>
      <c r="L16" s="74"/>
    </row>
    <row r="17" spans="1:12" ht="12.75">
      <c r="A17" s="54" t="s">
        <v>73</v>
      </c>
      <c r="B17" s="55"/>
      <c r="C17" s="254" t="s">
        <v>77</v>
      </c>
      <c r="D17" s="255"/>
      <c r="E17" s="255"/>
      <c r="F17" s="255"/>
      <c r="G17" s="255"/>
      <c r="H17" s="255"/>
      <c r="I17" s="255"/>
      <c r="J17" s="255"/>
      <c r="K17" s="255"/>
      <c r="L17" s="255"/>
    </row>
    <row r="18" spans="3:12" ht="12.75">
      <c r="C18" s="74"/>
      <c r="D18" s="74"/>
      <c r="E18" s="74"/>
      <c r="F18" s="74"/>
      <c r="G18" s="74"/>
      <c r="H18" s="74"/>
      <c r="I18" s="74"/>
      <c r="J18" s="74"/>
      <c r="K18" s="74"/>
      <c r="L18" s="74"/>
    </row>
    <row r="19" spans="3:12" ht="12.75">
      <c r="C19" s="254" t="s">
        <v>108</v>
      </c>
      <c r="D19" s="250"/>
      <c r="E19" s="250"/>
      <c r="F19" s="250"/>
      <c r="G19" s="250"/>
      <c r="H19" s="250"/>
      <c r="I19" s="250"/>
      <c r="J19" s="250"/>
      <c r="K19" s="250"/>
      <c r="L19" s="250"/>
    </row>
    <row r="20" spans="3:12" ht="12.75">
      <c r="C20" s="250"/>
      <c r="D20" s="250"/>
      <c r="E20" s="250"/>
      <c r="F20" s="250"/>
      <c r="G20" s="250"/>
      <c r="H20" s="250"/>
      <c r="I20" s="250"/>
      <c r="J20" s="250"/>
      <c r="K20" s="250"/>
      <c r="L20" s="250"/>
    </row>
    <row r="22" spans="3:12" ht="12.75">
      <c r="C22" s="250" t="s">
        <v>95</v>
      </c>
      <c r="D22" s="250"/>
      <c r="E22" s="250"/>
      <c r="F22" s="250"/>
      <c r="G22" s="250"/>
      <c r="H22" s="250"/>
      <c r="I22" s="250"/>
      <c r="J22" s="250"/>
      <c r="K22" s="250"/>
      <c r="L22" s="250"/>
    </row>
    <row r="23" spans="3:12" ht="12.75">
      <c r="C23" s="250"/>
      <c r="D23" s="250"/>
      <c r="E23" s="250"/>
      <c r="F23" s="250"/>
      <c r="G23" s="250"/>
      <c r="H23" s="250"/>
      <c r="I23" s="250"/>
      <c r="J23" s="250"/>
      <c r="K23" s="250"/>
      <c r="L23" s="250"/>
    </row>
    <row r="24" spans="3:12" ht="12.75">
      <c r="C24" s="74"/>
      <c r="D24" s="74"/>
      <c r="E24" s="74"/>
      <c r="F24" s="74"/>
      <c r="G24" s="74"/>
      <c r="H24" s="74"/>
      <c r="I24" s="74"/>
      <c r="J24" s="74"/>
      <c r="K24" s="74"/>
      <c r="L24" s="74"/>
    </row>
    <row r="25" spans="3:12" ht="12.75">
      <c r="C25" s="74"/>
      <c r="D25" s="74"/>
      <c r="E25" s="74"/>
      <c r="F25" s="74"/>
      <c r="G25" s="74"/>
      <c r="H25" s="74"/>
      <c r="I25" s="74"/>
      <c r="J25" s="74"/>
      <c r="K25" s="74"/>
      <c r="L25" s="74"/>
    </row>
    <row r="26" spans="3:12" ht="12.75">
      <c r="C26" s="74"/>
      <c r="D26" s="74"/>
      <c r="E26" s="74"/>
      <c r="F26" s="74"/>
      <c r="G26" s="74"/>
      <c r="H26" s="74"/>
      <c r="I26" s="74"/>
      <c r="J26" s="74"/>
      <c r="K26" s="74"/>
      <c r="L26" s="74"/>
    </row>
    <row r="27" spans="3:12" ht="12.75">
      <c r="C27" s="250" t="s">
        <v>97</v>
      </c>
      <c r="D27" s="250"/>
      <c r="E27" s="250"/>
      <c r="F27" s="250"/>
      <c r="G27" s="250"/>
      <c r="H27" s="250"/>
      <c r="I27" s="250"/>
      <c r="J27" s="250"/>
      <c r="K27" s="250"/>
      <c r="L27" s="250"/>
    </row>
    <row r="28" spans="3:12" ht="12.75">
      <c r="C28" s="74"/>
      <c r="D28" s="74"/>
      <c r="E28" s="74"/>
      <c r="F28" s="74"/>
      <c r="G28" s="74"/>
      <c r="H28" s="74"/>
      <c r="I28" s="74"/>
      <c r="J28" s="74"/>
      <c r="K28" s="74"/>
      <c r="L28" s="74"/>
    </row>
    <row r="31" spans="3:12" ht="12.75">
      <c r="C31" s="250" t="s">
        <v>88</v>
      </c>
      <c r="D31" s="250"/>
      <c r="E31" s="250"/>
      <c r="F31" s="250"/>
      <c r="G31" s="250"/>
      <c r="H31" s="250"/>
      <c r="I31" s="250"/>
      <c r="J31" s="250"/>
      <c r="K31" s="250"/>
      <c r="L31" s="250"/>
    </row>
    <row r="32" spans="3:12" ht="12.75">
      <c r="C32" s="250"/>
      <c r="D32" s="250"/>
      <c r="E32" s="250"/>
      <c r="F32" s="250"/>
      <c r="G32" s="250"/>
      <c r="H32" s="250"/>
      <c r="I32" s="250"/>
      <c r="J32" s="250"/>
      <c r="K32" s="250"/>
      <c r="L32" s="250"/>
    </row>
    <row r="33" spans="3:12" ht="12.75">
      <c r="C33" s="250"/>
      <c r="D33" s="250"/>
      <c r="E33" s="250"/>
      <c r="F33" s="250"/>
      <c r="G33" s="250"/>
      <c r="H33" s="250"/>
      <c r="I33" s="250"/>
      <c r="J33" s="250"/>
      <c r="K33" s="250"/>
      <c r="L33" s="250"/>
    </row>
    <row r="34" spans="3:12" ht="12.75">
      <c r="C34" s="250"/>
      <c r="D34" s="250"/>
      <c r="E34" s="250"/>
      <c r="F34" s="250"/>
      <c r="G34" s="250"/>
      <c r="H34" s="250"/>
      <c r="I34" s="250"/>
      <c r="J34" s="250"/>
      <c r="K34" s="250"/>
      <c r="L34" s="250"/>
    </row>
    <row r="37" spans="1:12" ht="12.75">
      <c r="A37" s="6"/>
      <c r="B37" s="6"/>
      <c r="C37" s="6"/>
      <c r="D37" s="74"/>
      <c r="E37" s="74"/>
      <c r="F37" s="74"/>
      <c r="G37" s="74"/>
      <c r="H37" s="74"/>
      <c r="I37" s="74"/>
      <c r="J37" s="74"/>
      <c r="K37" s="74"/>
      <c r="L37" s="74"/>
    </row>
    <row r="38" spans="1:12" ht="12.75">
      <c r="A38" s="6"/>
      <c r="B38" s="6"/>
      <c r="C38" s="74"/>
      <c r="D38" s="74"/>
      <c r="E38" s="74"/>
      <c r="F38" s="74"/>
      <c r="G38" s="74"/>
      <c r="H38" s="74"/>
      <c r="I38" s="74"/>
      <c r="J38" s="74"/>
      <c r="K38" s="74"/>
      <c r="L38" s="74"/>
    </row>
    <row r="39" spans="3:12" s="6" customFormat="1" ht="12.75" customHeight="1">
      <c r="C39" s="250" t="s">
        <v>141</v>
      </c>
      <c r="D39" s="250"/>
      <c r="E39" s="250"/>
      <c r="F39" s="250"/>
      <c r="G39" s="250"/>
      <c r="H39" s="250"/>
      <c r="I39" s="250"/>
      <c r="J39" s="250"/>
      <c r="K39" s="250"/>
      <c r="L39" s="250"/>
    </row>
    <row r="40" spans="3:12" s="6" customFormat="1" ht="12.75" customHeight="1">
      <c r="C40" s="250"/>
      <c r="D40" s="250"/>
      <c r="E40" s="250"/>
      <c r="F40" s="250"/>
      <c r="G40" s="250"/>
      <c r="H40" s="250"/>
      <c r="I40" s="250"/>
      <c r="J40" s="250"/>
      <c r="K40" s="250"/>
      <c r="L40" s="250"/>
    </row>
    <row r="41" spans="3:12" s="6" customFormat="1" ht="12.75" customHeight="1">
      <c r="C41" s="250"/>
      <c r="D41" s="250"/>
      <c r="E41" s="250"/>
      <c r="F41" s="250"/>
      <c r="G41" s="250"/>
      <c r="H41" s="250"/>
      <c r="I41" s="250"/>
      <c r="J41" s="250"/>
      <c r="K41" s="250"/>
      <c r="L41" s="250"/>
    </row>
    <row r="42" spans="1:12" s="6" customFormat="1" ht="12.75">
      <c r="A42"/>
      <c r="B42"/>
      <c r="C42" s="250"/>
      <c r="D42" s="250"/>
      <c r="E42" s="250"/>
      <c r="F42" s="250"/>
      <c r="G42" s="250"/>
      <c r="H42" s="250"/>
      <c r="I42" s="250"/>
      <c r="J42" s="250"/>
      <c r="K42" s="250"/>
      <c r="L42" s="250"/>
    </row>
    <row r="43" spans="1:12" s="6" customFormat="1" ht="12.75">
      <c r="A43"/>
      <c r="B43"/>
      <c r="C43"/>
      <c r="D43"/>
      <c r="E43"/>
      <c r="F43"/>
      <c r="G43"/>
      <c r="H43"/>
      <c r="I43"/>
      <c r="J43"/>
      <c r="K43"/>
      <c r="L43"/>
    </row>
    <row r="54" spans="1:12" ht="12.75">
      <c r="A54" s="73"/>
      <c r="B54" s="73"/>
      <c r="C54" s="73"/>
      <c r="D54" s="73"/>
      <c r="E54" s="73"/>
      <c r="F54" s="73"/>
      <c r="G54" s="73"/>
      <c r="H54" s="73"/>
      <c r="I54" s="73"/>
      <c r="J54" s="73"/>
      <c r="K54" s="73"/>
      <c r="L54" s="73"/>
    </row>
    <row r="55" spans="1:12" ht="12.75">
      <c r="A55" s="73"/>
      <c r="B55" s="73"/>
      <c r="C55" s="73"/>
      <c r="D55" s="73"/>
      <c r="E55" s="73"/>
      <c r="F55" s="73"/>
      <c r="G55" s="73"/>
      <c r="H55" s="73"/>
      <c r="I55" s="73"/>
      <c r="J55" s="73"/>
      <c r="K55" s="73"/>
      <c r="L55" s="73"/>
    </row>
    <row r="56" s="73" customFormat="1" ht="12.75"/>
    <row r="57" s="73" customFormat="1" ht="12.75"/>
    <row r="58" spans="5:12" s="73" customFormat="1" ht="18">
      <c r="E58" s="222">
        <v>1</v>
      </c>
      <c r="F58" s="222"/>
      <c r="G58" s="222">
        <v>2</v>
      </c>
      <c r="H58" s="222"/>
      <c r="I58" s="222">
        <v>3</v>
      </c>
      <c r="J58" s="222"/>
      <c r="K58" s="222">
        <v>4</v>
      </c>
      <c r="L58" s="222"/>
    </row>
    <row r="59" spans="5:12" s="73" customFormat="1" ht="12.75">
      <c r="E59" s="221">
        <v>1</v>
      </c>
      <c r="F59" s="221">
        <v>1.6</v>
      </c>
      <c r="G59" s="221">
        <v>3</v>
      </c>
      <c r="H59" s="221">
        <v>3.7</v>
      </c>
      <c r="I59" s="221">
        <v>6</v>
      </c>
      <c r="J59" s="221">
        <v>6.7</v>
      </c>
      <c r="K59" s="221">
        <v>8</v>
      </c>
      <c r="L59" s="221">
        <v>8.7</v>
      </c>
    </row>
    <row r="60" spans="1:24" s="73" customFormat="1" ht="18">
      <c r="A60"/>
      <c r="B60"/>
      <c r="C60"/>
      <c r="D60"/>
      <c r="E60"/>
      <c r="F60"/>
      <c r="G60"/>
      <c r="H60"/>
      <c r="I60"/>
      <c r="J60"/>
      <c r="K60"/>
      <c r="L60"/>
      <c r="M60" s="222">
        <v>5</v>
      </c>
      <c r="N60" s="222"/>
      <c r="O60" s="222">
        <v>6</v>
      </c>
      <c r="P60" s="222">
        <v>7</v>
      </c>
      <c r="Q60" s="222">
        <v>8</v>
      </c>
      <c r="R60" s="222">
        <v>9</v>
      </c>
      <c r="S60" s="222">
        <v>10</v>
      </c>
      <c r="T60" s="222">
        <v>11</v>
      </c>
      <c r="U60" s="222">
        <v>12</v>
      </c>
      <c r="V60" s="222">
        <v>13</v>
      </c>
      <c r="W60" s="222">
        <v>14</v>
      </c>
      <c r="X60" s="222">
        <v>15</v>
      </c>
    </row>
    <row r="61" spans="1:24" s="73" customFormat="1" ht="12.75">
      <c r="A61"/>
      <c r="B61"/>
      <c r="C61"/>
      <c r="D61"/>
      <c r="E61" s="221">
        <v>1</v>
      </c>
      <c r="F61" s="221">
        <v>3</v>
      </c>
      <c r="G61" s="221">
        <v>3</v>
      </c>
      <c r="H61" s="221">
        <v>5</v>
      </c>
      <c r="I61" s="221">
        <v>5</v>
      </c>
      <c r="J61" s="221">
        <v>7</v>
      </c>
      <c r="K61" s="221">
        <v>7</v>
      </c>
      <c r="L61" s="221">
        <v>9</v>
      </c>
      <c r="M61" s="221">
        <v>10.3</v>
      </c>
      <c r="N61" s="221">
        <v>10.5</v>
      </c>
      <c r="O61" s="221">
        <v>10.4</v>
      </c>
      <c r="P61" s="221">
        <v>9</v>
      </c>
      <c r="Q61" s="221">
        <v>8</v>
      </c>
      <c r="R61" s="221">
        <v>7</v>
      </c>
      <c r="S61" s="221">
        <v>6</v>
      </c>
      <c r="T61" s="221">
        <v>5</v>
      </c>
      <c r="U61" s="221">
        <v>4</v>
      </c>
      <c r="V61" s="221">
        <v>3</v>
      </c>
      <c r="W61" s="221">
        <v>2</v>
      </c>
      <c r="X61" s="221">
        <v>1</v>
      </c>
    </row>
  </sheetData>
  <mergeCells count="10">
    <mergeCell ref="C39:L41"/>
    <mergeCell ref="C42:L42"/>
    <mergeCell ref="C5:L5"/>
    <mergeCell ref="C31:L34"/>
    <mergeCell ref="C10:L11"/>
    <mergeCell ref="C19:L20"/>
    <mergeCell ref="C17:L17"/>
    <mergeCell ref="C22:L23"/>
    <mergeCell ref="C27:L27"/>
    <mergeCell ref="C7:L8"/>
  </mergeCells>
  <printOptions/>
  <pageMargins left="0.75" right="0.75" top="0.75" bottom="0.5" header="0.5" footer="0.5"/>
  <pageSetup horizontalDpi="600" verticalDpi="600" orientation="landscape" scale="74" r:id="rId6"/>
  <headerFooter alignWithMargins="0">
    <oddFooter>&amp;R&amp;11Page &amp;P of &amp;N Pages</oddFooter>
  </headerFooter>
  <drawing r:id="rId5"/>
  <legacyDrawing r:id="rId4"/>
  <oleObjects>
    <oleObject progId="Equation.3" shapeId="743591" r:id="rId1"/>
    <oleObject progId="Equation.3" shapeId="938080" r:id="rId2"/>
    <oleObject progId="Equation.3" shapeId="941594" r:id="rId3"/>
  </oleObjects>
</worksheet>
</file>

<file path=xl/worksheets/sheet4.xml><?xml version="1.0" encoding="utf-8"?>
<worksheet xmlns="http://schemas.openxmlformats.org/spreadsheetml/2006/main" xmlns:r="http://schemas.openxmlformats.org/officeDocument/2006/relationships">
  <dimension ref="A1:N25"/>
  <sheetViews>
    <sheetView zoomScale="75" zoomScaleNormal="75" zoomScaleSheetLayoutView="75" workbookViewId="0" topLeftCell="A1">
      <selection activeCell="F4" sqref="F4"/>
    </sheetView>
  </sheetViews>
  <sheetFormatPr defaultColWidth="9.140625" defaultRowHeight="12.75"/>
  <cols>
    <col min="1" max="1" width="8.57421875" style="0" customWidth="1"/>
    <col min="11" max="11" width="10.57421875" style="0" customWidth="1"/>
  </cols>
  <sheetData>
    <row r="1" ht="15">
      <c r="A1" s="9" t="str">
        <f>+Cover!A19</f>
        <v>Company/Institution  Name</v>
      </c>
    </row>
    <row r="2" ht="15.75">
      <c r="A2" s="111" t="s">
        <v>120</v>
      </c>
    </row>
    <row r="3" spans="1:4" ht="23.25" customHeight="1">
      <c r="A3" s="110" t="s">
        <v>84</v>
      </c>
      <c r="B3" s="39"/>
      <c r="C3" s="52"/>
      <c r="D3" s="52"/>
    </row>
    <row r="4" spans="1:5" ht="15.75">
      <c r="A4" s="112"/>
      <c r="E4" s="113"/>
    </row>
    <row r="6" spans="1:3" ht="12.75">
      <c r="A6" s="54" t="s">
        <v>72</v>
      </c>
      <c r="B6" s="55"/>
      <c r="C6" s="55"/>
    </row>
    <row r="8" spans="1:2" ht="12.75">
      <c r="A8" t="s">
        <v>81</v>
      </c>
      <c r="B8" s="117" t="s">
        <v>87</v>
      </c>
    </row>
    <row r="10" spans="1:14" ht="12.75">
      <c r="A10" t="s">
        <v>82</v>
      </c>
      <c r="B10" s="254" t="s">
        <v>133</v>
      </c>
      <c r="C10" s="250"/>
      <c r="D10" s="250"/>
      <c r="E10" s="250"/>
      <c r="F10" s="250"/>
      <c r="G10" s="250"/>
      <c r="H10" s="250"/>
      <c r="I10" s="250"/>
      <c r="J10" s="250"/>
      <c r="K10" s="250"/>
      <c r="L10" s="250"/>
      <c r="M10" s="250"/>
      <c r="N10" s="6"/>
    </row>
    <row r="11" spans="2:14" ht="12.75">
      <c r="B11" s="250"/>
      <c r="C11" s="250"/>
      <c r="D11" s="250"/>
      <c r="E11" s="250"/>
      <c r="F11" s="250"/>
      <c r="G11" s="250"/>
      <c r="H11" s="250"/>
      <c r="I11" s="250"/>
      <c r="J11" s="250"/>
      <c r="K11" s="250"/>
      <c r="L11" s="250"/>
      <c r="M11" s="250"/>
      <c r="N11" s="6"/>
    </row>
    <row r="12" spans="2:14" ht="12.75">
      <c r="B12" s="250"/>
      <c r="C12" s="250"/>
      <c r="D12" s="250"/>
      <c r="E12" s="250"/>
      <c r="F12" s="250"/>
      <c r="G12" s="250"/>
      <c r="H12" s="250"/>
      <c r="I12" s="250"/>
      <c r="J12" s="250"/>
      <c r="K12" s="250"/>
      <c r="L12" s="250"/>
      <c r="M12" s="250"/>
      <c r="N12" s="6"/>
    </row>
    <row r="13" spans="2:14" ht="12.75">
      <c r="B13" s="6" t="s">
        <v>134</v>
      </c>
      <c r="C13" s="74"/>
      <c r="D13" s="74"/>
      <c r="E13" s="74"/>
      <c r="F13" s="74"/>
      <c r="G13" s="74"/>
      <c r="H13" s="74"/>
      <c r="I13" s="74"/>
      <c r="J13" s="74"/>
      <c r="K13" s="74"/>
      <c r="L13" s="74"/>
      <c r="M13" s="74"/>
      <c r="N13" s="6"/>
    </row>
    <row r="15" spans="2:14" ht="12.75">
      <c r="B15" s="250" t="s">
        <v>124</v>
      </c>
      <c r="C15" s="250"/>
      <c r="D15" s="250"/>
      <c r="E15" s="250"/>
      <c r="F15" s="250"/>
      <c r="G15" s="250"/>
      <c r="H15" s="250"/>
      <c r="I15" s="250"/>
      <c r="J15" s="250"/>
      <c r="K15" s="250"/>
      <c r="L15" s="250"/>
      <c r="M15" s="250"/>
      <c r="N15" s="6"/>
    </row>
    <row r="16" spans="2:14" ht="12.75">
      <c r="B16" s="250"/>
      <c r="C16" s="250"/>
      <c r="D16" s="250"/>
      <c r="E16" s="250"/>
      <c r="F16" s="250"/>
      <c r="G16" s="250"/>
      <c r="H16" s="250"/>
      <c r="I16" s="250"/>
      <c r="J16" s="250"/>
      <c r="K16" s="250"/>
      <c r="L16" s="250"/>
      <c r="M16" s="250"/>
      <c r="N16" s="6"/>
    </row>
    <row r="18" spans="1:14" ht="12.75">
      <c r="A18" t="s">
        <v>83</v>
      </c>
      <c r="B18" s="254" t="s">
        <v>94</v>
      </c>
      <c r="C18" s="250"/>
      <c r="D18" s="250"/>
      <c r="E18" s="250"/>
      <c r="F18" s="250"/>
      <c r="G18" s="250"/>
      <c r="H18" s="250"/>
      <c r="I18" s="250"/>
      <c r="J18" s="250"/>
      <c r="K18" s="250"/>
      <c r="L18" s="250"/>
      <c r="M18" s="250"/>
      <c r="N18" s="6"/>
    </row>
    <row r="19" spans="2:14" ht="12.75">
      <c r="B19" s="250"/>
      <c r="C19" s="250"/>
      <c r="D19" s="250"/>
      <c r="E19" s="250"/>
      <c r="F19" s="250"/>
      <c r="G19" s="250"/>
      <c r="H19" s="250"/>
      <c r="I19" s="250"/>
      <c r="J19" s="250"/>
      <c r="K19" s="250"/>
      <c r="L19" s="250"/>
      <c r="M19" s="250"/>
      <c r="N19" s="6"/>
    </row>
    <row r="25" ht="12.75">
      <c r="A25" t="s">
        <v>142</v>
      </c>
    </row>
  </sheetData>
  <mergeCells count="3">
    <mergeCell ref="B10:M12"/>
    <mergeCell ref="B15:M16"/>
    <mergeCell ref="B18:M19"/>
  </mergeCells>
  <printOptions/>
  <pageMargins left="0.75" right="0.75" top="0.75" bottom="0.5" header="0.5" footer="0.5"/>
  <pageSetup horizontalDpi="600" verticalDpi="600" orientation="landscape" r:id="rId1"/>
  <headerFooter alignWithMargins="0">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Ron Johnson, Phone: 916-524-3999</Manager>
  <Company>BGV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BioGenetic Ventures Biotechnology Valuation Model</dc:title>
  <dc:subject>Version 6.0</dc:subject>
  <dc:creator>Ronald S. Johnson, Jeff Stewart, Peter Allison</dc:creator>
  <cp:keywords/>
  <dc:description>Copyright, 2001</dc:description>
  <cp:lastModifiedBy> </cp:lastModifiedBy>
  <cp:lastPrinted>2006-09-01T16:49:03Z</cp:lastPrinted>
  <dcterms:created xsi:type="dcterms:W3CDTF">2000-08-08T22:54:08Z</dcterms:created>
  <dcterms:modified xsi:type="dcterms:W3CDTF">2006-09-01T16:56:54Z</dcterms:modified>
  <cp:category/>
  <cp:version/>
  <cp:contentType/>
  <cp:contentStatus/>
</cp:coreProperties>
</file>